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9372" windowHeight="5076"/>
  </bookViews>
  <sheets>
    <sheet name="Phoenix Dynamometer" sheetId="1" r:id="rId1"/>
    <sheet name="Sheet1" sheetId="2" state="veryHidden" r:id="rId2"/>
  </sheets>
  <definedNames>
    <definedName name="_xlnm.Print_Area" localSheetId="0">'Phoenix Dynamometer'!$B$1:$O$59</definedName>
  </definedNames>
  <calcPr calcId="125725"/>
</workbook>
</file>

<file path=xl/calcChain.xml><?xml version="1.0" encoding="utf-8"?>
<calcChain xmlns="http://schemas.openxmlformats.org/spreadsheetml/2006/main">
  <c r="C17" i="2"/>
  <c r="G19" i="1"/>
  <c r="J5" i="2"/>
  <c r="H5"/>
  <c r="C5"/>
  <c r="C6" s="1"/>
  <c r="I7" i="1"/>
  <c r="C16"/>
  <c r="C7" i="2" l="1"/>
  <c r="D5"/>
  <c r="I8" i="1"/>
  <c r="D6" i="2" l="1"/>
  <c r="E5"/>
  <c r="C8"/>
  <c r="I9" i="1"/>
  <c r="E6" i="2" l="1"/>
  <c r="E7" s="1"/>
  <c r="F5"/>
  <c r="D7"/>
  <c r="I10" i="1"/>
  <c r="D8" i="2" l="1"/>
  <c r="F6"/>
  <c r="G5"/>
  <c r="G6" s="1"/>
  <c r="G7" s="1"/>
  <c r="E8"/>
  <c r="I12" i="1"/>
  <c r="I11"/>
  <c r="G8" i="2" l="1"/>
  <c r="F7"/>
  <c r="I8"/>
  <c r="F9" l="1"/>
  <c r="F8"/>
  <c r="H8" s="1"/>
  <c r="D9"/>
  <c r="C9"/>
  <c r="H7"/>
  <c r="E9"/>
  <c r="G9"/>
  <c r="H9" l="1"/>
  <c r="H19" i="1"/>
  <c r="G10" i="2" l="1"/>
  <c r="F10"/>
  <c r="E10"/>
  <c r="D10"/>
  <c r="C10"/>
  <c r="G15"/>
  <c r="F15"/>
  <c r="E15"/>
  <c r="D15"/>
  <c r="C15"/>
</calcChain>
</file>

<file path=xl/sharedStrings.xml><?xml version="1.0" encoding="utf-8"?>
<sst xmlns="http://schemas.openxmlformats.org/spreadsheetml/2006/main" count="59" uniqueCount="53">
  <si>
    <t>Phoenix Dynamometer, LLC</t>
  </si>
  <si>
    <t>Kw</t>
  </si>
  <si>
    <t>Yes</t>
  </si>
  <si>
    <t xml:space="preserve">Enter the cost of 1 Kwh of  electricity: </t>
  </si>
  <si>
    <t xml:space="preserve">Enter the cost of 1 </t>
  </si>
  <si>
    <t xml:space="preserve">of  water: </t>
  </si>
  <si>
    <t>Selections</t>
  </si>
  <si>
    <t>Choice</t>
  </si>
  <si>
    <t>Power (HP)</t>
  </si>
  <si>
    <t>HP</t>
  </si>
  <si>
    <t>GPM</t>
  </si>
  <si>
    <t>Engine Cooling</t>
  </si>
  <si>
    <t>Intake Cooling</t>
  </si>
  <si>
    <t>Oil Cooling</t>
  </si>
  <si>
    <t>Fuel Cooling</t>
  </si>
  <si>
    <t>No</t>
  </si>
  <si>
    <t>Water Use</t>
  </si>
  <si>
    <t>Electricity Use</t>
  </si>
  <si>
    <t>Power Absorption</t>
  </si>
  <si>
    <t>Enter expected monthly operation (in hours):</t>
  </si>
  <si>
    <t>G/month without recycling</t>
  </si>
  <si>
    <t>G/month with recycling</t>
  </si>
  <si>
    <t>Percent (%) contribution</t>
  </si>
  <si>
    <t>* Ccf</t>
  </si>
  <si>
    <t>Water flow requirement per devise, without the use of a water recirculation system.</t>
  </si>
  <si>
    <t xml:space="preserve">The algorithm is based on a facility supplied water and ambient wet bulb temperatures of 21°C  [70°F]. </t>
  </si>
  <si>
    <t>When a recirculation system is used, water flow (not usage) per device increases by approximately 30%.</t>
  </si>
  <si>
    <t xml:space="preserve">Enter dynamometer rated power  in: </t>
  </si>
  <si>
    <t>DESCRIPTION</t>
  </si>
  <si>
    <t>Start here !</t>
  </si>
  <si>
    <r>
      <t xml:space="preserve">Do you use water to </t>
    </r>
    <r>
      <rPr>
        <b/>
        <sz val="11"/>
        <color theme="4" tint="-0.249977111117893"/>
        <rFont val="Calibri"/>
        <family val="2"/>
        <scheme val="minor"/>
      </rPr>
      <t>cool the Engine/Motor</t>
    </r>
    <r>
      <rPr>
        <sz val="11"/>
        <color theme="1"/>
        <rFont val="Calibri"/>
        <family val="2"/>
        <scheme val="minor"/>
      </rPr>
      <t>?</t>
    </r>
  </si>
  <si>
    <r>
      <t xml:space="preserve">Do you use water to </t>
    </r>
    <r>
      <rPr>
        <b/>
        <sz val="11"/>
        <color theme="4" tint="-0.249977111117893"/>
        <rFont val="Calibri"/>
        <family val="2"/>
        <scheme val="minor"/>
      </rPr>
      <t>cool intake air</t>
    </r>
    <r>
      <rPr>
        <sz val="11"/>
        <color theme="1"/>
        <rFont val="Calibri"/>
        <family val="2"/>
        <scheme val="minor"/>
      </rPr>
      <t>?</t>
    </r>
  </si>
  <si>
    <r>
      <t xml:space="preserve">Do you use water to </t>
    </r>
    <r>
      <rPr>
        <b/>
        <sz val="11"/>
        <color theme="4" tint="-0.249977111117893"/>
        <rFont val="Calibri"/>
        <family val="2"/>
        <scheme val="minor"/>
      </rPr>
      <t>cool engine oil</t>
    </r>
    <r>
      <rPr>
        <sz val="11"/>
        <color theme="1"/>
        <rFont val="Calibri"/>
        <family val="2"/>
        <scheme val="minor"/>
      </rPr>
      <t>?</t>
    </r>
  </si>
  <si>
    <r>
      <t xml:space="preserve">Do you use water to </t>
    </r>
    <r>
      <rPr>
        <b/>
        <sz val="11"/>
        <color theme="4" tint="-0.249977111117893"/>
        <rFont val="Calibri"/>
        <family val="2"/>
        <scheme val="minor"/>
      </rPr>
      <t>cool fuel</t>
    </r>
    <r>
      <rPr>
        <sz val="11"/>
        <color theme="1"/>
        <rFont val="Calibri"/>
        <family val="2"/>
        <scheme val="minor"/>
      </rPr>
      <t>?</t>
    </r>
  </si>
  <si>
    <t>Year 1</t>
  </si>
  <si>
    <t>Year 2</t>
  </si>
  <si>
    <t>Year 3</t>
  </si>
  <si>
    <t>Year 4</t>
  </si>
  <si>
    <t>Year 5</t>
  </si>
  <si>
    <t>Currency selection</t>
  </si>
  <si>
    <t>Monthly Savings :</t>
  </si>
  <si>
    <t>USD</t>
  </si>
  <si>
    <t>EURO</t>
  </si>
  <si>
    <t>Select Currency:</t>
  </si>
  <si>
    <t>Select units/options in the drop down menus and enter values in the blue cells below</t>
  </si>
  <si>
    <t>www.phoenixdyno.com</t>
  </si>
  <si>
    <t>sales@phoenixdyno.com</t>
  </si>
  <si>
    <r>
      <t>m</t>
    </r>
    <r>
      <rPr>
        <vertAlign val="superscript"/>
        <sz val="11"/>
        <color theme="4" tint="-0.249977111117893"/>
        <rFont val="Cambria"/>
        <family val="1"/>
      </rPr>
      <t>3</t>
    </r>
  </si>
  <si>
    <t xml:space="preserve">              Water Recirculation System Savings Calculator </t>
  </si>
  <si>
    <t>Rev 011</t>
  </si>
  <si>
    <t xml:space="preserve">If your local condition are different, please do not hesitate to contact us for a free system evaluation. Our services extend world wide and we can make significant improvements even on existing systems. </t>
  </si>
  <si>
    <t>NOTES</t>
  </si>
  <si>
    <t>Warning</t>
  </si>
</sst>
</file>

<file path=xl/styles.xml><?xml version="1.0" encoding="utf-8"?>
<styleSheet xmlns="http://schemas.openxmlformats.org/spreadsheetml/2006/main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00"/>
    <numFmt numFmtId="166" formatCode="_(&quot;$&quot;* #,##0_);_(&quot;$&quot;* \(#,##0\);_(&quot;$&quot;* &quot;-&quot;??_);_(@_)"/>
    <numFmt numFmtId="167" formatCode="_(* #,##0_);_(* \(#,##0\);_(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0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8"/>
      <color theme="4" tint="-0.249977111117893"/>
      <name val="Calibri"/>
      <family val="2"/>
      <scheme val="minor"/>
    </font>
    <font>
      <sz val="14"/>
      <color theme="4" tint="-0.249977111117893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u/>
      <sz val="12"/>
      <color theme="4" tint="-0.249977111117893"/>
      <name val="Calibri"/>
      <family val="2"/>
    </font>
    <font>
      <u/>
      <sz val="11"/>
      <color theme="4" tint="-0.249977111117893"/>
      <name val="Calibri"/>
      <family val="2"/>
    </font>
    <font>
      <vertAlign val="superscript"/>
      <sz val="11"/>
      <color theme="4" tint="-0.249977111117893"/>
      <name val="Cambria"/>
      <family val="1"/>
    </font>
    <font>
      <sz val="11"/>
      <color theme="4" tint="-0.249977111117893"/>
      <name val="Calibri"/>
      <family val="2"/>
    </font>
    <font>
      <b/>
      <sz val="18"/>
      <color theme="1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gray0625">
        <fgColor rgb="FFFF0000"/>
        <bgColor auto="1"/>
      </patternFill>
    </fill>
  </fills>
  <borders count="31">
    <border>
      <left/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  <border>
      <left/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double">
        <color theme="4" tint="-0.24994659260841701"/>
      </left>
      <right/>
      <top style="double">
        <color theme="4" tint="-0.24994659260841701"/>
      </top>
      <bottom style="double">
        <color theme="4" tint="-0.24994659260841701"/>
      </bottom>
      <diagonal/>
    </border>
    <border>
      <left/>
      <right style="double">
        <color theme="4" tint="-0.24994659260841701"/>
      </right>
      <top style="double">
        <color theme="4" tint="-0.24994659260841701"/>
      </top>
      <bottom style="double">
        <color theme="4" tint="-0.24994659260841701"/>
      </bottom>
      <diagonal/>
    </border>
    <border>
      <left style="thin">
        <color theme="4" tint="-0.24994659260841701"/>
      </left>
      <right/>
      <top style="thin">
        <color theme="4" tint="-0.249977111117893"/>
      </top>
      <bottom/>
      <diagonal/>
    </border>
    <border>
      <left/>
      <right style="thin">
        <color theme="4" tint="-0.24994659260841701"/>
      </right>
      <top style="thin">
        <color theme="4" tint="-0.249977111117893"/>
      </top>
      <bottom/>
      <diagonal/>
    </border>
    <border>
      <left style="thin">
        <color theme="4" tint="-0.24994659260841701"/>
      </left>
      <right/>
      <top style="thin">
        <color theme="4" tint="-0.24994659260841701"/>
      </top>
      <bottom style="thin">
        <color theme="4" tint="-0.249977111117893"/>
      </bottom>
      <diagonal/>
    </border>
    <border>
      <left/>
      <right/>
      <top style="thin">
        <color theme="4" tint="-0.24994659260841701"/>
      </top>
      <bottom style="thin">
        <color theme="4" tint="-0.249977111117893"/>
      </bottom>
      <diagonal/>
    </border>
    <border>
      <left/>
      <right style="thin">
        <color theme="4" tint="-0.24994659260841701"/>
      </right>
      <top style="thin">
        <color theme="4" tint="-0.24994659260841701"/>
      </top>
      <bottom style="thin">
        <color theme="4" tint="-0.249977111117893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0" fillId="0" borderId="0" xfId="0" applyProtection="1"/>
    <xf numFmtId="0" fontId="2" fillId="0" borderId="0" xfId="0" applyFont="1" applyAlignment="1" applyProtection="1">
      <alignment horizontal="center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/>
    <xf numFmtId="0" fontId="0" fillId="0" borderId="3" xfId="0" applyBorder="1" applyProtection="1"/>
    <xf numFmtId="0" fontId="0" fillId="0" borderId="4" xfId="0" applyBorder="1" applyProtection="1"/>
    <xf numFmtId="1" fontId="0" fillId="0" borderId="0" xfId="0" applyNumberForma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horizontal="right"/>
    </xf>
    <xf numFmtId="0" fontId="0" fillId="2" borderId="1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6" fillId="0" borderId="0" xfId="0" applyFont="1" applyBorder="1" applyAlignment="1" applyProtection="1">
      <alignment wrapText="1"/>
    </xf>
    <xf numFmtId="0" fontId="0" fillId="0" borderId="2" xfId="0" applyBorder="1" applyAlignment="1" applyProtection="1"/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8" fillId="0" borderId="0" xfId="0" applyFont="1" applyBorder="1" applyAlignment="1" applyProtection="1"/>
    <xf numFmtId="0" fontId="0" fillId="0" borderId="0" xfId="0" applyAlignment="1" applyProtection="1"/>
    <xf numFmtId="0" fontId="0" fillId="0" borderId="3" xfId="0" applyBorder="1" applyAlignment="1" applyProtection="1">
      <alignment horizontal="right"/>
    </xf>
    <xf numFmtId="0" fontId="0" fillId="0" borderId="0" xfId="0" applyFont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0" fillId="0" borderId="0" xfId="0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/>
    </xf>
    <xf numFmtId="0" fontId="3" fillId="0" borderId="0" xfId="0" applyFont="1" applyAlignment="1" applyProtection="1"/>
    <xf numFmtId="0" fontId="3" fillId="0" borderId="0" xfId="0" applyFont="1" applyBorder="1" applyAlignment="1" applyProtection="1"/>
    <xf numFmtId="0" fontId="3" fillId="0" borderId="0" xfId="0" applyFont="1" applyAlignment="1" applyProtection="1">
      <alignment horizontal="right"/>
    </xf>
    <xf numFmtId="44" fontId="12" fillId="3" borderId="22" xfId="1" applyFont="1" applyFill="1" applyBorder="1" applyAlignment="1" applyProtection="1">
      <alignment horizontal="right"/>
    </xf>
    <xf numFmtId="37" fontId="12" fillId="3" borderId="23" xfId="1" applyNumberFormat="1" applyFont="1" applyFill="1" applyBorder="1" applyAlignment="1" applyProtection="1">
      <alignment horizontal="left"/>
    </xf>
    <xf numFmtId="0" fontId="0" fillId="0" borderId="0" xfId="0" applyBorder="1" applyProtection="1"/>
    <xf numFmtId="0" fontId="0" fillId="0" borderId="16" xfId="0" applyBorder="1" applyAlignment="1" applyProtection="1">
      <alignment vertical="center" wrapText="1"/>
    </xf>
    <xf numFmtId="0" fontId="0" fillId="0" borderId="17" xfId="0" applyBorder="1" applyAlignment="1" applyProtection="1">
      <alignment vertical="center" wrapText="1"/>
    </xf>
    <xf numFmtId="0" fontId="0" fillId="0" borderId="18" xfId="0" applyBorder="1" applyAlignment="1" applyProtection="1">
      <alignment vertical="center" wrapText="1"/>
    </xf>
    <xf numFmtId="0" fontId="0" fillId="0" borderId="13" xfId="0" applyFont="1" applyBorder="1" applyAlignment="1" applyProtection="1">
      <alignment vertical="center" wrapText="1"/>
    </xf>
    <xf numFmtId="0" fontId="0" fillId="0" borderId="14" xfId="0" applyFont="1" applyBorder="1" applyAlignment="1" applyProtection="1">
      <alignment vertical="center" wrapText="1"/>
    </xf>
    <xf numFmtId="0" fontId="0" fillId="0" borderId="1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12" xfId="0" applyFont="1" applyBorder="1" applyAlignment="1" applyProtection="1">
      <alignment vertical="center" wrapText="1"/>
    </xf>
    <xf numFmtId="0" fontId="0" fillId="0" borderId="11" xfId="0" applyFont="1" applyBorder="1" applyAlignment="1" applyProtection="1">
      <alignment vertical="center" wrapText="1"/>
    </xf>
    <xf numFmtId="0" fontId="0" fillId="0" borderId="7" xfId="0" applyBorder="1" applyAlignment="1" applyProtection="1"/>
    <xf numFmtId="0" fontId="0" fillId="0" borderId="0" xfId="0" applyBorder="1" applyAlignment="1" applyProtection="1"/>
    <xf numFmtId="0" fontId="0" fillId="0" borderId="8" xfId="0" applyBorder="1" applyAlignment="1" applyProtection="1"/>
    <xf numFmtId="0" fontId="0" fillId="0" borderId="9" xfId="0" applyBorder="1" applyAlignment="1" applyProtection="1"/>
    <xf numFmtId="0" fontId="0" fillId="0" borderId="5" xfId="0" applyBorder="1" applyAlignment="1" applyProtection="1"/>
    <xf numFmtId="0" fontId="0" fillId="0" borderId="10" xfId="0" applyBorder="1" applyAlignment="1" applyProtection="1"/>
    <xf numFmtId="0" fontId="14" fillId="0" borderId="0" xfId="0" applyFont="1" applyProtection="1"/>
    <xf numFmtId="0" fontId="16" fillId="0" borderId="0" xfId="0" applyFont="1" applyProtection="1"/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21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right"/>
      <protection locked="0"/>
    </xf>
    <xf numFmtId="1" fontId="6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 applyProtection="1">
      <alignment horizontal="center"/>
      <protection locked="0"/>
    </xf>
    <xf numFmtId="9" fontId="6" fillId="0" borderId="0" xfId="2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 applyProtection="1">
      <protection locked="0"/>
    </xf>
    <xf numFmtId="1" fontId="6" fillId="0" borderId="0" xfId="0" applyNumberFormat="1" applyFont="1" applyFill="1" applyProtection="1">
      <protection locked="0"/>
    </xf>
    <xf numFmtId="167" fontId="6" fillId="0" borderId="0" xfId="3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Protection="1">
      <protection locked="0"/>
    </xf>
    <xf numFmtId="0" fontId="9" fillId="0" borderId="0" xfId="0" applyFont="1" applyAlignment="1" applyProtection="1"/>
    <xf numFmtId="0" fontId="5" fillId="0" borderId="0" xfId="0" applyFont="1" applyBorder="1" applyAlignment="1" applyProtection="1"/>
    <xf numFmtId="0" fontId="22" fillId="0" borderId="0" xfId="0" applyFont="1"/>
    <xf numFmtId="43" fontId="6" fillId="0" borderId="0" xfId="3" applyNumberFormat="1" applyFont="1" applyFill="1" applyAlignment="1" applyProtection="1">
      <protection locked="0"/>
    </xf>
    <xf numFmtId="0" fontId="10" fillId="0" borderId="26" xfId="0" applyFont="1" applyBorder="1" applyAlignment="1" applyProtection="1">
      <alignment vertical="center"/>
    </xf>
    <xf numFmtId="0" fontId="0" fillId="0" borderId="29" xfId="0" applyBorder="1" applyProtection="1"/>
    <xf numFmtId="0" fontId="0" fillId="0" borderId="6" xfId="0" applyBorder="1" applyProtection="1"/>
    <xf numFmtId="0" fontId="0" fillId="0" borderId="30" xfId="0" applyBorder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5" xfId="0" applyBorder="1" applyProtection="1"/>
    <xf numFmtId="0" fontId="0" fillId="0" borderId="10" xfId="0" applyBorder="1" applyProtection="1"/>
    <xf numFmtId="0" fontId="24" fillId="0" borderId="6" xfId="0" applyFont="1" applyBorder="1" applyAlignment="1" applyProtection="1">
      <alignment horizontal="left"/>
    </xf>
    <xf numFmtId="0" fontId="24" fillId="0" borderId="5" xfId="0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left" wrapText="1"/>
    </xf>
    <xf numFmtId="0" fontId="7" fillId="0" borderId="0" xfId="0" applyFont="1" applyBorder="1" applyAlignment="1" applyProtection="1">
      <alignment horizontal="left" wrapText="1"/>
    </xf>
    <xf numFmtId="0" fontId="7" fillId="0" borderId="8" xfId="0" applyFont="1" applyBorder="1" applyAlignment="1" applyProtection="1">
      <alignment horizontal="left" wrapText="1"/>
    </xf>
    <xf numFmtId="0" fontId="7" fillId="0" borderId="9" xfId="0" applyFont="1" applyBorder="1" applyAlignment="1" applyProtection="1">
      <alignment horizontal="left" wrapText="1"/>
    </xf>
    <xf numFmtId="0" fontId="7" fillId="0" borderId="5" xfId="0" applyFont="1" applyBorder="1" applyAlignment="1" applyProtection="1">
      <alignment horizontal="left" wrapText="1"/>
    </xf>
    <xf numFmtId="0" fontId="7" fillId="0" borderId="10" xfId="0" applyFont="1" applyBorder="1" applyAlignment="1" applyProtection="1">
      <alignment horizontal="left" wrapText="1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23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left"/>
    </xf>
    <xf numFmtId="0" fontId="19" fillId="0" borderId="12" xfId="4" applyFont="1" applyBorder="1" applyAlignment="1" applyProtection="1">
      <alignment horizontal="center" vertical="center" wrapText="1"/>
    </xf>
    <xf numFmtId="0" fontId="19" fillId="0" borderId="0" xfId="4" applyFont="1" applyBorder="1" applyAlignment="1" applyProtection="1">
      <alignment horizontal="center" vertical="center" wrapText="1"/>
    </xf>
    <xf numFmtId="0" fontId="19" fillId="0" borderId="11" xfId="4" applyFont="1" applyBorder="1" applyAlignment="1" applyProtection="1">
      <alignment horizontal="center" vertical="center" wrapText="1"/>
    </xf>
    <xf numFmtId="0" fontId="0" fillId="0" borderId="13" xfId="0" applyFont="1" applyBorder="1" applyAlignment="1" applyProtection="1">
      <alignment horizontal="left" vertical="center" wrapText="1"/>
    </xf>
    <xf numFmtId="0" fontId="0" fillId="0" borderId="14" xfId="0" applyFont="1" applyBorder="1" applyAlignment="1" applyProtection="1">
      <alignment horizontal="left" vertical="center" wrapText="1"/>
    </xf>
    <xf numFmtId="0" fontId="0" fillId="0" borderId="15" xfId="0" applyFont="1" applyBorder="1" applyAlignment="1" applyProtection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1" fontId="0" fillId="0" borderId="2" xfId="0" applyNumberFormat="1" applyBorder="1" applyAlignment="1" applyProtection="1">
      <alignment horizontal="center"/>
    </xf>
    <xf numFmtId="1" fontId="0" fillId="0" borderId="4" xfId="0" applyNumberFormat="1" applyBorder="1" applyAlignment="1" applyProtection="1">
      <alignment horizontal="center"/>
    </xf>
    <xf numFmtId="0" fontId="18" fillId="0" borderId="0" xfId="4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6" fillId="0" borderId="0" xfId="0" applyFont="1" applyAlignment="1" applyProtection="1">
      <alignment horizontal="right" vertical="center"/>
    </xf>
    <xf numFmtId="0" fontId="6" fillId="0" borderId="8" xfId="0" applyFont="1" applyBorder="1" applyAlignment="1" applyProtection="1">
      <alignment horizontal="right" vertical="center"/>
    </xf>
    <xf numFmtId="0" fontId="0" fillId="0" borderId="13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horizontal="left" vertical="center" wrapText="1"/>
    </xf>
    <xf numFmtId="0" fontId="0" fillId="0" borderId="15" xfId="0" applyBorder="1" applyAlignment="1" applyProtection="1">
      <alignment horizontal="left" vertical="center" wrapText="1"/>
    </xf>
    <xf numFmtId="0" fontId="0" fillId="0" borderId="12" xfId="0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 wrapText="1"/>
    </xf>
    <xf numFmtId="0" fontId="0" fillId="0" borderId="11" xfId="0" applyBorder="1" applyAlignment="1" applyProtection="1">
      <alignment horizontal="left" vertical="center" wrapText="1"/>
    </xf>
    <xf numFmtId="0" fontId="11" fillId="0" borderId="0" xfId="0" applyFont="1" applyBorder="1" applyAlignment="1" applyProtection="1">
      <alignment horizontal="center"/>
    </xf>
    <xf numFmtId="0" fontId="15" fillId="0" borderId="0" xfId="0" applyFont="1" applyBorder="1" applyAlignment="1" applyProtection="1">
      <alignment horizontal="right" vertical="top" wrapText="1"/>
    </xf>
    <xf numFmtId="0" fontId="15" fillId="0" borderId="5" xfId="0" applyFont="1" applyBorder="1" applyAlignment="1" applyProtection="1">
      <alignment horizontal="right" vertical="top" wrapText="1"/>
    </xf>
    <xf numFmtId="0" fontId="7" fillId="0" borderId="24" xfId="0" applyFont="1" applyBorder="1" applyAlignment="1" applyProtection="1">
      <alignment horizontal="left" vertical="top" wrapText="1"/>
    </xf>
    <xf numFmtId="0" fontId="7" fillId="0" borderId="14" xfId="0" applyFont="1" applyBorder="1" applyAlignment="1" applyProtection="1">
      <alignment horizontal="left" vertical="top" wrapText="1"/>
    </xf>
    <xf numFmtId="0" fontId="7" fillId="0" borderId="25" xfId="0" applyFont="1" applyBorder="1" applyAlignment="1" applyProtection="1">
      <alignment horizontal="left" vertical="top" wrapText="1"/>
    </xf>
    <xf numFmtId="0" fontId="7" fillId="0" borderId="7" xfId="0" applyFont="1" applyBorder="1" applyAlignment="1" applyProtection="1">
      <alignment horizontal="left" vertical="top" wrapText="1"/>
    </xf>
    <xf numFmtId="0" fontId="7" fillId="0" borderId="0" xfId="0" applyFont="1" applyBorder="1" applyAlignment="1" applyProtection="1">
      <alignment horizontal="left" vertical="top" wrapText="1"/>
    </xf>
    <xf numFmtId="0" fontId="7" fillId="0" borderId="8" xfId="0" applyFont="1" applyBorder="1" applyAlignment="1" applyProtection="1">
      <alignment horizontal="left" vertical="top" wrapText="1"/>
    </xf>
    <xf numFmtId="0" fontId="4" fillId="0" borderId="19" xfId="0" applyFont="1" applyBorder="1" applyAlignment="1" applyProtection="1">
      <alignment horizontal="center"/>
    </xf>
    <xf numFmtId="0" fontId="4" fillId="0" borderId="20" xfId="0" applyFont="1" applyBorder="1" applyAlignment="1" applyProtection="1">
      <alignment horizontal="center"/>
    </xf>
    <xf numFmtId="0" fontId="4" fillId="0" borderId="21" xfId="0" applyFont="1" applyBorder="1" applyAlignment="1" applyProtection="1">
      <alignment horizontal="center"/>
    </xf>
    <xf numFmtId="1" fontId="4" fillId="0" borderId="2" xfId="0" applyNumberFormat="1" applyFont="1" applyBorder="1" applyAlignment="1" applyProtection="1">
      <alignment horizontal="center"/>
    </xf>
    <xf numFmtId="1" fontId="4" fillId="0" borderId="4" xfId="0" applyNumberFormat="1" applyFont="1" applyBorder="1" applyAlignment="1" applyProtection="1">
      <alignment horizontal="center"/>
    </xf>
    <xf numFmtId="0" fontId="6" fillId="0" borderId="0" xfId="0" applyFont="1" applyFill="1" applyAlignment="1" applyProtection="1">
      <alignment horizontal="right" vertical="center"/>
      <protection locked="0"/>
    </xf>
  </cellXfs>
  <cellStyles count="5">
    <cellStyle name="Comma" xfId="3" builtinId="3"/>
    <cellStyle name="Currency" xfId="1" builtinId="4"/>
    <cellStyle name="Hyperlink" xfId="4" builtinId="8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0000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0"/>
  <c:chart>
    <c:title>
      <c:tx>
        <c:strRef>
          <c:f>Sheet1!$C$17</c:f>
          <c:strCache>
            <c:ptCount val="1"/>
            <c:pt idx="0">
              <c:v>Monthly Savings Contribution ($)</c:v>
            </c:pt>
          </c:strCache>
        </c:strRef>
      </c:tx>
      <c:layout>
        <c:manualLayout>
          <c:xMode val="edge"/>
          <c:yMode val="edge"/>
          <c:x val="0.10230932918969635"/>
          <c:y val="2.0356234096692107E-2"/>
        </c:manualLayout>
      </c:layout>
      <c:txPr>
        <a:bodyPr/>
        <a:lstStyle/>
        <a:p>
          <a:pPr>
            <a:defRPr>
              <a:solidFill>
                <a:schemeClr val="accent1">
                  <a:lumMod val="75000"/>
                </a:schemeClr>
              </a:solidFill>
            </a:defRPr>
          </a:pPr>
          <a:endParaRPr lang="en-US"/>
        </a:p>
      </c:txPr>
    </c:title>
    <c:view3D>
      <c:rotX val="30"/>
      <c:rotY val="200"/>
      <c:perspective val="20"/>
    </c:view3D>
    <c:plotArea>
      <c:layout>
        <c:manualLayout>
          <c:layoutTarget val="inner"/>
          <c:xMode val="edge"/>
          <c:yMode val="edge"/>
          <c:x val="0.1661893670827857"/>
          <c:y val="0.28292655725726651"/>
          <c:w val="0.68316937463813265"/>
          <c:h val="0.524392912424409"/>
        </c:manualLayout>
      </c:layout>
      <c:pie3DChart>
        <c:varyColors val="1"/>
        <c:ser>
          <c:idx val="0"/>
          <c:order val="0"/>
          <c:tx>
            <c:strRef>
              <c:f>Sheet1!$C$1:$G$1</c:f>
              <c:strCache>
                <c:ptCount val="1"/>
                <c:pt idx="0">
                  <c:v>Power Absorption Engine Cooling Intake Cooling Oil Cooling Fuel Cooling</c:v>
                </c:pt>
              </c:strCache>
            </c:strRef>
          </c:tx>
          <c:explosion val="22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 sz="800"/>
                      <a:t>Power Absorption
 3,096.00 
44%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 sz="800"/>
                      <a:t>Engine Cooling
 1,394.00 
20%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800"/>
                      <a:t>Intake Cooling
 2,050.00 
29%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 sz="800"/>
                      <a:t>Oil Cooling
 250.00 
3%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 sz="800"/>
                      <a:t>Fuel Cooling
 250.00 
4%</a:t>
                    </a:r>
                  </a:p>
                </c:rich>
              </c:tx>
              <c:dLblPos val="outEnd"/>
              <c:showVal val="1"/>
              <c:showCatName val="1"/>
              <c:showPercent val="1"/>
            </c:dLbl>
            <c:spPr>
              <a:noFill/>
              <a:ln>
                <a:noFill/>
              </a:ln>
            </c:spPr>
            <c:dLblPos val="outEnd"/>
            <c:showVal val="1"/>
            <c:showCatName val="1"/>
            <c:showPercent val="1"/>
          </c:dLbls>
          <c:cat>
            <c:strRef>
              <c:f>Sheet1!$C$1:$G$1</c:f>
              <c:strCache>
                <c:ptCount val="5"/>
                <c:pt idx="0">
                  <c:v>Power Absorption</c:v>
                </c:pt>
                <c:pt idx="1">
                  <c:v>Engine Cooling</c:v>
                </c:pt>
                <c:pt idx="2">
                  <c:v>Intake Cooling</c:v>
                </c:pt>
                <c:pt idx="3">
                  <c:v>Oil Cooling</c:v>
                </c:pt>
                <c:pt idx="4">
                  <c:v>Fuel Cooling</c:v>
                </c:pt>
              </c:strCache>
            </c:strRef>
          </c:cat>
          <c:val>
            <c:numRef>
              <c:f>Sheet1!$C$10:$G$10</c:f>
              <c:numCache>
                <c:formatCode>_(* #,##0.00_);_(* \(#,##0.00\);_(* "-"??_);_(@_)</c:formatCode>
                <c:ptCount val="5"/>
                <c:pt idx="0">
                  <c:v>3096</c:v>
                </c:pt>
                <c:pt idx="1">
                  <c:v>1394</c:v>
                </c:pt>
                <c:pt idx="2">
                  <c:v>2050</c:v>
                </c:pt>
                <c:pt idx="3">
                  <c:v>250</c:v>
                </c:pt>
                <c:pt idx="4">
                  <c:v>250</c:v>
                </c:pt>
              </c:numCache>
            </c:numRef>
          </c:val>
        </c:ser>
        <c:dLbls>
          <c:showCatName val="1"/>
          <c:showPercent val="1"/>
        </c:dLbls>
      </c:pie3DChart>
      <c:spPr>
        <a:noFill/>
        <a:ln w="25400">
          <a:noFill/>
        </a:ln>
      </c:spPr>
    </c:plotArea>
    <c:plotVisOnly val="1"/>
    <c:dispBlanksAs val="zero"/>
  </c:chart>
  <c:spPr>
    <a:noFill/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3"/>
  <c:chart>
    <c:title>
      <c:tx>
        <c:rich>
          <a:bodyPr/>
          <a:lstStyle/>
          <a:p>
            <a:pPr>
              <a:defRPr sz="1400"/>
            </a:pPr>
            <a:r>
              <a:rPr lang="en-US" sz="1400">
                <a:solidFill>
                  <a:schemeClr val="accent1">
                    <a:lumMod val="75000"/>
                  </a:schemeClr>
                </a:solidFill>
              </a:rPr>
              <a:t>Accumulated Savings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33058241084047629"/>
          <c:y val="0.23814409496219277"/>
          <c:w val="0.61849168179801661"/>
          <c:h val="0.47694361619850739"/>
        </c:manualLayout>
      </c:layout>
      <c:barChart>
        <c:barDir val="col"/>
        <c:grouping val="clustered"/>
        <c:ser>
          <c:idx val="0"/>
          <c:order val="0"/>
          <c:tx>
            <c:strRef>
              <c:f>'Phoenix Dynamometer'!$Q$28</c:f>
              <c:strCache>
                <c:ptCount val="1"/>
              </c:strCache>
            </c:strRef>
          </c:tx>
          <c:cat>
            <c:strRef>
              <c:f>Sheet1!$C$14:$G$14</c:f>
              <c:strCache>
                <c:ptCount val="5"/>
                <c:pt idx="0">
                  <c:v>Year 1</c:v>
                </c:pt>
                <c:pt idx="1">
                  <c:v>Year 2</c:v>
                </c:pt>
                <c:pt idx="2">
                  <c:v>Year 3</c:v>
                </c:pt>
                <c:pt idx="3">
                  <c:v>Year 4</c:v>
                </c:pt>
                <c:pt idx="4">
                  <c:v>Year 5</c:v>
                </c:pt>
              </c:strCache>
            </c:strRef>
          </c:cat>
          <c:val>
            <c:numRef>
              <c:f>'Phoenix Dynamometer'!$Q$29</c:f>
              <c:numCache>
                <c:formatCode>General</c:formatCode>
                <c:ptCount val="1"/>
              </c:numCache>
            </c:numRef>
          </c:val>
        </c:ser>
        <c:ser>
          <c:idx val="1"/>
          <c:order val="1"/>
          <c:val>
            <c:numRef>
              <c:f>Sheet1!$C$15:$G$15</c:f>
              <c:numCache>
                <c:formatCode>_(* #,##0_);_(* \(#,##0\);_(* "-"??_);_(@_)</c:formatCode>
                <c:ptCount val="5"/>
                <c:pt idx="0">
                  <c:v>84458.607839142685</c:v>
                </c:pt>
                <c:pt idx="1">
                  <c:v>168917.21567828537</c:v>
                </c:pt>
                <c:pt idx="2">
                  <c:v>253375.82351742807</c:v>
                </c:pt>
                <c:pt idx="3">
                  <c:v>337834.43135657074</c:v>
                </c:pt>
                <c:pt idx="4">
                  <c:v>422293.03919571341</c:v>
                </c:pt>
              </c:numCache>
            </c:numRef>
          </c:val>
        </c:ser>
        <c:axId val="68384640"/>
        <c:axId val="68386176"/>
      </c:barChart>
      <c:catAx>
        <c:axId val="68384640"/>
        <c:scaling>
          <c:orientation val="minMax"/>
        </c:scaling>
        <c:axPos val="b"/>
        <c:majorTickMark val="none"/>
        <c:tickLblPos val="nextTo"/>
        <c:txPr>
          <a:bodyPr rot="-4500000" vert="horz" anchor="t" anchorCtr="0"/>
          <a:lstStyle/>
          <a:p>
            <a:pPr>
              <a:defRPr/>
            </a:pPr>
            <a:endParaRPr lang="en-US"/>
          </a:p>
        </c:txPr>
        <c:crossAx val="68386176"/>
        <c:crosses val="autoZero"/>
        <c:auto val="1"/>
        <c:lblAlgn val="ctr"/>
        <c:lblOffset val="50"/>
      </c:catAx>
      <c:valAx>
        <c:axId val="68386176"/>
        <c:scaling>
          <c:orientation val="minMax"/>
          <c:min val="0"/>
        </c:scaling>
        <c:axPos val="l"/>
        <c:majorGridlines/>
        <c:title>
          <c:tx>
            <c:strRef>
              <c:f>Sheet1!$J$5</c:f>
              <c:strCache>
                <c:ptCount val="1"/>
                <c:pt idx="0">
                  <c:v>USD</c:v>
                </c:pt>
              </c:strCache>
            </c:strRef>
          </c:tx>
          <c:layout>
            <c:manualLayout>
              <c:xMode val="edge"/>
              <c:yMode val="edge"/>
              <c:x val="2.3283410249194551E-2"/>
              <c:y val="0.34713089669372726"/>
            </c:manualLayout>
          </c:layout>
          <c:txPr>
            <a:bodyPr/>
            <a:lstStyle/>
            <a:p>
              <a:pPr>
                <a:defRPr sz="1200" b="1">
                  <a:solidFill>
                    <a:schemeClr val="accent1">
                      <a:lumMod val="75000"/>
                    </a:schemeClr>
                  </a:solidFill>
                </a:defRPr>
              </a:pPr>
              <a:endParaRPr lang="en-US"/>
            </a:p>
          </c:txPr>
        </c:title>
        <c:numFmt formatCode="#,##0" sourceLinked="0"/>
        <c:tickLblPos val="nextTo"/>
        <c:spPr>
          <a:noFill/>
          <a:effectLst>
            <a:outerShdw blurRad="50800" dist="50800" sx="1000" sy="1000" algn="ctr" rotWithShape="0">
              <a:srgbClr val="000000"/>
            </a:outerShdw>
          </a:effectLst>
        </c:spPr>
        <c:crossAx val="68384640"/>
        <c:crosses val="autoZero"/>
        <c:crossBetween val="between"/>
      </c:valAx>
      <c:spPr>
        <a:noFill/>
        <a:ln w="25400">
          <a:noFill/>
        </a:ln>
      </c:spPr>
    </c:plotArea>
    <c:plotVisOnly val="1"/>
  </c:chart>
  <c:spPr>
    <a:noFill/>
    <a:ln>
      <a:noFill/>
    </a:ln>
  </c:spPr>
  <c:printSettings>
    <c:headerFooter/>
    <c:pageMargins b="0.75000000000000189" l="0.70000000000000062" r="0.70000000000000062" t="0.750000000000001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175261</xdr:colOff>
      <xdr:row>19</xdr:row>
      <xdr:rowOff>175260</xdr:rowOff>
    </xdr:from>
    <xdr:to>
      <xdr:col>7</xdr:col>
      <xdr:colOff>914400</xdr:colOff>
      <xdr:row>34</xdr:row>
      <xdr:rowOff>1</xdr:rowOff>
    </xdr:to>
    <xdr:graphicFrame macro="">
      <xdr:nvGraphicFramePr>
        <xdr:cNvPr id="103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19050</xdr:colOff>
      <xdr:row>7</xdr:row>
      <xdr:rowOff>3810</xdr:rowOff>
    </xdr:from>
    <xdr:to>
      <xdr:col>10</xdr:col>
      <xdr:colOff>276225</xdr:colOff>
      <xdr:row>11</xdr:row>
      <xdr:rowOff>177165</xdr:rowOff>
    </xdr:to>
    <xdr:sp macro="" textlink="">
      <xdr:nvSpPr>
        <xdr:cNvPr id="3" name="Right Brace 2"/>
        <xdr:cNvSpPr/>
      </xdr:nvSpPr>
      <xdr:spPr>
        <a:xfrm>
          <a:off x="5878830" y="1710690"/>
          <a:ext cx="257175" cy="935355"/>
        </a:xfrm>
        <a:prstGeom prst="rightBrace">
          <a:avLst>
            <a:gd name="adj1" fmla="val 8333"/>
            <a:gd name="adj2" fmla="val 49194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11</xdr:col>
      <xdr:colOff>247650</xdr:colOff>
      <xdr:row>13</xdr:row>
      <xdr:rowOff>15240</xdr:rowOff>
    </xdr:from>
    <xdr:to>
      <xdr:col>11</xdr:col>
      <xdr:colOff>428625</xdr:colOff>
      <xdr:row>13</xdr:row>
      <xdr:rowOff>184664</xdr:rowOff>
    </xdr:to>
    <xdr:pic>
      <xdr:nvPicPr>
        <xdr:cNvPr id="4" name="Picture 3" descr="causion.gif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427470" y="2865120"/>
          <a:ext cx="180975" cy="169424"/>
        </a:xfrm>
        <a:prstGeom prst="rect">
          <a:avLst/>
        </a:prstGeom>
      </xdr:spPr>
    </xdr:pic>
    <xdr:clientData/>
  </xdr:twoCellAnchor>
  <xdr:twoCellAnchor>
    <xdr:from>
      <xdr:col>7</xdr:col>
      <xdr:colOff>280148</xdr:colOff>
      <xdr:row>3</xdr:row>
      <xdr:rowOff>156882</xdr:rowOff>
    </xdr:from>
    <xdr:to>
      <xdr:col>7</xdr:col>
      <xdr:colOff>638736</xdr:colOff>
      <xdr:row>6</xdr:row>
      <xdr:rowOff>101384</xdr:rowOff>
    </xdr:to>
    <xdr:sp macro="" textlink="">
      <xdr:nvSpPr>
        <xdr:cNvPr id="6" name="Down Arrow 5"/>
        <xdr:cNvSpPr/>
      </xdr:nvSpPr>
      <xdr:spPr>
        <a:xfrm>
          <a:off x="4045324" y="840441"/>
          <a:ext cx="358588" cy="359119"/>
        </a:xfrm>
        <a:prstGeom prst="downArrow">
          <a:avLst/>
        </a:prstGeom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11207</xdr:colOff>
      <xdr:row>23</xdr:row>
      <xdr:rowOff>11207</xdr:rowOff>
    </xdr:from>
    <xdr:to>
      <xdr:col>13</xdr:col>
      <xdr:colOff>300320</xdr:colOff>
      <xdr:row>33</xdr:row>
      <xdr:rowOff>89649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ales@phoenixdyno.com" TargetMode="External"/><Relationship Id="rId1" Type="http://schemas.openxmlformats.org/officeDocument/2006/relationships/hyperlink" Target="http://www.phoenixdyno.com/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341"/>
  <sheetViews>
    <sheetView showGridLines="0" showRowColHeaders="0" tabSelected="1" zoomScaleNormal="100" workbookViewId="0">
      <selection activeCell="H8" sqref="H8"/>
    </sheetView>
  </sheetViews>
  <sheetFormatPr defaultColWidth="9.109375" defaultRowHeight="14.4"/>
  <cols>
    <col min="1" max="1" width="13.5546875" style="1" customWidth="1"/>
    <col min="2" max="2" width="2.6640625" style="1" customWidth="1"/>
    <col min="3" max="3" width="17.109375" style="1" customWidth="1"/>
    <col min="4" max="4" width="9.88671875" style="1" customWidth="1"/>
    <col min="5" max="5" width="5.6640625" style="1" customWidth="1"/>
    <col min="6" max="6" width="10.44140625" style="1" customWidth="1"/>
    <col min="7" max="7" width="4.5546875" style="1" customWidth="1"/>
    <col min="8" max="8" width="13.5546875" style="1" bestFit="1" customWidth="1"/>
    <col min="9" max="9" width="3.33203125" style="1" customWidth="1"/>
    <col min="10" max="11" width="4.6640625" style="1" customWidth="1"/>
    <col min="12" max="12" width="22.6640625" style="1" customWidth="1"/>
    <col min="13" max="14" width="4.6640625" style="1" customWidth="1"/>
    <col min="15" max="15" width="2.5546875" style="1" customWidth="1"/>
    <col min="16" max="16" width="43.5546875" style="1" customWidth="1"/>
    <col min="17" max="17" width="25.6640625" style="4" bestFit="1" customWidth="1"/>
    <col min="18" max="18" width="11.33203125" style="1" bestFit="1" customWidth="1"/>
    <col min="19" max="19" width="9" style="4" bestFit="1" customWidth="1"/>
    <col min="20" max="20" width="14.5546875" style="4" bestFit="1" customWidth="1"/>
    <col min="21" max="21" width="11.33203125" style="4" bestFit="1" customWidth="1"/>
    <col min="22" max="22" width="12.5546875" style="4" bestFit="1" customWidth="1"/>
    <col min="23" max="23" width="10.6640625" style="1" bestFit="1" customWidth="1"/>
    <col min="24" max="24" width="14.109375" style="1" bestFit="1" customWidth="1"/>
    <col min="25" max="25" width="9.6640625" style="1" bestFit="1" customWidth="1"/>
    <col min="26" max="16384" width="9.109375" style="1"/>
  </cols>
  <sheetData>
    <row r="1" spans="1:25" ht="32.25" customHeight="1">
      <c r="C1" s="111" t="s">
        <v>0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73"/>
      <c r="P1" s="2"/>
      <c r="Q1" s="2"/>
      <c r="R1" s="3"/>
      <c r="S1" s="3"/>
      <c r="T1" s="3"/>
      <c r="U1" s="3"/>
      <c r="V1" s="3"/>
      <c r="W1" s="3"/>
      <c r="X1" s="3"/>
      <c r="Y1" s="3"/>
    </row>
    <row r="2" spans="1:25" ht="21">
      <c r="C2" s="110" t="s">
        <v>48</v>
      </c>
      <c r="D2" s="110"/>
      <c r="E2" s="110"/>
      <c r="F2" s="110"/>
      <c r="G2" s="110"/>
      <c r="H2" s="110"/>
      <c r="I2" s="110"/>
      <c r="J2" s="110"/>
      <c r="K2" s="110"/>
      <c r="L2" s="110"/>
      <c r="M2" s="74" t="s">
        <v>49</v>
      </c>
      <c r="N2" s="34"/>
      <c r="O2" s="34"/>
    </row>
    <row r="3" spans="1:25" ht="21">
      <c r="B3" s="5"/>
      <c r="C3" s="109" t="s">
        <v>45</v>
      </c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5"/>
    </row>
    <row r="4" spans="1:25" ht="21">
      <c r="C4" s="5"/>
      <c r="D4" s="5"/>
      <c r="E4" s="5"/>
      <c r="F4" s="120" t="s">
        <v>29</v>
      </c>
      <c r="G4" s="120"/>
      <c r="H4" s="5"/>
      <c r="I4" s="5"/>
      <c r="J4" s="5"/>
      <c r="K4" s="5"/>
      <c r="L4" s="5"/>
      <c r="M4" s="6"/>
      <c r="N4" s="6"/>
      <c r="O4" s="6"/>
    </row>
    <row r="5" spans="1:25" ht="11.25" customHeight="1">
      <c r="C5" s="7"/>
      <c r="D5" s="7"/>
      <c r="E5" s="7"/>
      <c r="F5" s="120"/>
      <c r="G5" s="120"/>
      <c r="H5" s="7"/>
      <c r="K5" s="4"/>
    </row>
    <row r="6" spans="1:25" ht="17.25" customHeight="1">
      <c r="C6" s="121" t="s">
        <v>44</v>
      </c>
      <c r="D6" s="121"/>
      <c r="E6" s="121"/>
      <c r="F6" s="121"/>
      <c r="G6" s="121"/>
      <c r="H6" s="7"/>
      <c r="K6" s="4"/>
    </row>
    <row r="7" spans="1:25" ht="12" customHeight="1">
      <c r="C7" s="122"/>
      <c r="D7" s="122"/>
      <c r="E7" s="122"/>
      <c r="F7" s="122"/>
      <c r="G7" s="122"/>
      <c r="H7" s="8"/>
      <c r="I7" s="132" t="str">
        <f>IF(Sheet1!H4=2,"GPM","LPM")</f>
        <v>GPM</v>
      </c>
      <c r="J7" s="133"/>
      <c r="K7" s="4"/>
      <c r="L7" s="129" t="s">
        <v>28</v>
      </c>
      <c r="M7" s="130"/>
      <c r="N7" s="131"/>
      <c r="O7" s="7"/>
    </row>
    <row r="8" spans="1:25" ht="15.15" customHeight="1">
      <c r="C8" s="9" t="s">
        <v>27</v>
      </c>
      <c r="D8" s="10"/>
      <c r="E8" s="11"/>
      <c r="F8" s="11"/>
      <c r="G8" s="12"/>
      <c r="H8" s="56">
        <v>2500</v>
      </c>
      <c r="I8" s="107">
        <f>IF(Sheet1!H4=2,Sheet1!C6,Sheet1!C6*3.8)</f>
        <v>182.14285714285714</v>
      </c>
      <c r="J8" s="108"/>
      <c r="K8" s="13"/>
      <c r="L8" s="123" t="s">
        <v>24</v>
      </c>
      <c r="M8" s="124"/>
      <c r="N8" s="125"/>
      <c r="O8" s="14"/>
      <c r="P8" s="15"/>
    </row>
    <row r="9" spans="1:25" ht="15.15" customHeight="1">
      <c r="A9" s="16"/>
      <c r="B9" s="16"/>
      <c r="C9" s="9" t="s">
        <v>30</v>
      </c>
      <c r="D9" s="10"/>
      <c r="E9" s="10"/>
      <c r="F9" s="11"/>
      <c r="G9" s="12"/>
      <c r="H9" s="17"/>
      <c r="I9" s="107">
        <f>IF(Sheet1!H4=2,Sheet1!D6,Sheet1!D6*3.8)</f>
        <v>82</v>
      </c>
      <c r="J9" s="108"/>
      <c r="K9" s="18"/>
      <c r="L9" s="126"/>
      <c r="M9" s="127"/>
      <c r="N9" s="128"/>
      <c r="O9" s="14"/>
      <c r="P9" s="15"/>
    </row>
    <row r="10" spans="1:25" ht="15.15" customHeight="1">
      <c r="C10" s="9" t="s">
        <v>31</v>
      </c>
      <c r="D10" s="10"/>
      <c r="E10" s="10"/>
      <c r="F10" s="11"/>
      <c r="G10" s="12"/>
      <c r="H10" s="17"/>
      <c r="I10" s="107">
        <f>IF(Sheet1!H4=2,Sheet1!E6,Sheet1!E6*3.8)</f>
        <v>120.58823529411765</v>
      </c>
      <c r="J10" s="108"/>
      <c r="K10" s="13"/>
      <c r="L10" s="88" t="s">
        <v>26</v>
      </c>
      <c r="M10" s="89"/>
      <c r="N10" s="90"/>
      <c r="O10" s="19"/>
      <c r="P10" s="19"/>
    </row>
    <row r="11" spans="1:25" ht="15.15" customHeight="1">
      <c r="C11" s="9" t="s">
        <v>32</v>
      </c>
      <c r="D11" s="10"/>
      <c r="E11" s="10"/>
      <c r="F11" s="11"/>
      <c r="G11" s="12"/>
      <c r="H11" s="17"/>
      <c r="I11" s="107">
        <f>IF(Sheet1!H4=2,Sheet1!F6,Sheet1!F6*3.8)</f>
        <v>14.705882352941176</v>
      </c>
      <c r="J11" s="108"/>
      <c r="K11" s="13"/>
      <c r="L11" s="88"/>
      <c r="M11" s="89"/>
      <c r="N11" s="90"/>
      <c r="O11" s="14"/>
      <c r="P11" s="15"/>
    </row>
    <row r="12" spans="1:25" ht="15.15" customHeight="1">
      <c r="C12" s="9" t="s">
        <v>33</v>
      </c>
      <c r="D12" s="10"/>
      <c r="E12" s="10"/>
      <c r="F12" s="11"/>
      <c r="G12" s="12"/>
      <c r="H12" s="17"/>
      <c r="I12" s="107">
        <f>IF(Sheet1!H4=2,Sheet1!G6,Sheet1!G6*3.8)</f>
        <v>14.705882352941176</v>
      </c>
      <c r="J12" s="108"/>
      <c r="K12" s="13"/>
      <c r="L12" s="91"/>
      <c r="M12" s="92"/>
      <c r="N12" s="93"/>
      <c r="O12" s="14"/>
      <c r="P12" s="15"/>
    </row>
    <row r="13" spans="1:25" ht="15.15" customHeight="1">
      <c r="C13" s="20" t="s">
        <v>4</v>
      </c>
      <c r="D13" s="10"/>
      <c r="E13" s="21" t="s">
        <v>5</v>
      </c>
      <c r="F13" s="11"/>
      <c r="G13" s="22"/>
      <c r="H13" s="57">
        <v>1.18</v>
      </c>
      <c r="I13" s="23"/>
      <c r="J13" s="23"/>
      <c r="K13" s="23"/>
    </row>
    <row r="14" spans="1:25" ht="15.15" customHeight="1">
      <c r="C14" s="9" t="s">
        <v>3</v>
      </c>
      <c r="D14" s="10"/>
      <c r="E14" s="10"/>
      <c r="F14" s="11"/>
      <c r="G14" s="22"/>
      <c r="H14" s="57">
        <v>0.11763</v>
      </c>
      <c r="J14" s="77"/>
      <c r="K14" s="94" t="s">
        <v>52</v>
      </c>
      <c r="L14" s="94"/>
      <c r="M14" s="94"/>
      <c r="N14" s="95"/>
      <c r="O14" s="24"/>
    </row>
    <row r="15" spans="1:25" ht="15.15" customHeight="1">
      <c r="A15" s="25"/>
      <c r="B15" s="25"/>
      <c r="C15" s="9" t="s">
        <v>19</v>
      </c>
      <c r="D15" s="26"/>
      <c r="E15" s="26"/>
      <c r="F15" s="11"/>
      <c r="G15" s="12"/>
      <c r="H15" s="56">
        <v>200</v>
      </c>
      <c r="J15" s="101" t="s">
        <v>25</v>
      </c>
      <c r="K15" s="102"/>
      <c r="L15" s="102"/>
      <c r="M15" s="102"/>
      <c r="N15" s="103"/>
      <c r="O15" s="27"/>
    </row>
    <row r="16" spans="1:25" ht="15.15" customHeight="1">
      <c r="C16" s="28" t="str">
        <f>IF(Sheet1!H4=2,"*Ccf = 100 ft3","")</f>
        <v>*Ccf = 100 ft3</v>
      </c>
      <c r="H16" s="29"/>
      <c r="J16" s="104"/>
      <c r="K16" s="105"/>
      <c r="L16" s="105"/>
      <c r="M16" s="105"/>
      <c r="N16" s="106"/>
      <c r="O16" s="27"/>
      <c r="P16" s="18"/>
    </row>
    <row r="17" spans="1:20" ht="15.15" customHeight="1">
      <c r="C17" s="30"/>
      <c r="E17" s="112" t="s">
        <v>43</v>
      </c>
      <c r="F17" s="112"/>
      <c r="G17" s="113"/>
      <c r="H17" s="17"/>
      <c r="J17" s="104"/>
      <c r="K17" s="105"/>
      <c r="L17" s="105"/>
      <c r="M17" s="105"/>
      <c r="N17" s="106"/>
      <c r="O17" s="27"/>
      <c r="P17" s="18"/>
    </row>
    <row r="18" spans="1:20" ht="20.100000000000001" customHeight="1" thickBot="1">
      <c r="C18" s="30"/>
      <c r="H18" s="18"/>
      <c r="J18" s="114" t="s">
        <v>50</v>
      </c>
      <c r="K18" s="115"/>
      <c r="L18" s="115"/>
      <c r="M18" s="115"/>
      <c r="N18" s="116"/>
      <c r="O18" s="31"/>
      <c r="P18" s="32"/>
    </row>
    <row r="19" spans="1:20" ht="24" customHeight="1" thickTop="1" thickBot="1">
      <c r="A19" s="33"/>
      <c r="B19" s="33"/>
      <c r="C19" s="33"/>
      <c r="D19" s="33"/>
      <c r="E19" s="34"/>
      <c r="F19" s="35" t="s">
        <v>40</v>
      </c>
      <c r="G19" s="36" t="str">
        <f>IF(Sheet1!J4=1,"$",IF(Sheet1!J4=2,"€",""))</f>
        <v>$</v>
      </c>
      <c r="H19" s="37">
        <f>Sheet1!H7*H13-(Sheet1!H8*H13+Sheet1!I8*H14)</f>
        <v>7038.2173199285571</v>
      </c>
      <c r="J19" s="117"/>
      <c r="K19" s="118"/>
      <c r="L19" s="118"/>
      <c r="M19" s="118"/>
      <c r="N19" s="119"/>
      <c r="O19" s="31"/>
      <c r="P19" s="18"/>
    </row>
    <row r="20" spans="1:20" ht="15" customHeight="1" thickTop="1">
      <c r="I20" s="38"/>
      <c r="J20" s="117"/>
      <c r="K20" s="118"/>
      <c r="L20" s="118"/>
      <c r="M20" s="118"/>
      <c r="N20" s="119"/>
      <c r="O20" s="31"/>
      <c r="P20" s="18"/>
    </row>
    <row r="21" spans="1:20">
      <c r="C21" s="78"/>
      <c r="D21" s="79"/>
      <c r="E21" s="79"/>
      <c r="F21" s="79"/>
      <c r="G21" s="79"/>
      <c r="H21" s="80"/>
      <c r="I21" s="38"/>
      <c r="J21" s="117"/>
      <c r="K21" s="118"/>
      <c r="L21" s="118"/>
      <c r="M21" s="118"/>
      <c r="N21" s="119"/>
      <c r="O21" s="31"/>
      <c r="P21" s="18"/>
    </row>
    <row r="22" spans="1:20" ht="15.15" customHeight="1">
      <c r="C22" s="81"/>
      <c r="D22" s="38"/>
      <c r="E22" s="38"/>
      <c r="F22" s="38"/>
      <c r="G22" s="38"/>
      <c r="H22" s="82"/>
      <c r="J22" s="98" t="s">
        <v>46</v>
      </c>
      <c r="K22" s="99"/>
      <c r="L22" s="99"/>
      <c r="M22" s="99"/>
      <c r="N22" s="100"/>
      <c r="O22" s="31"/>
      <c r="P22" s="18"/>
    </row>
    <row r="23" spans="1:20" ht="15.15" customHeight="1">
      <c r="C23" s="81"/>
      <c r="D23" s="38"/>
      <c r="E23" s="38"/>
      <c r="F23" s="38"/>
      <c r="G23" s="38"/>
      <c r="H23" s="82"/>
      <c r="J23" s="39"/>
      <c r="K23" s="40"/>
      <c r="L23" s="40"/>
      <c r="M23" s="40"/>
      <c r="N23" s="41"/>
      <c r="O23" s="31"/>
      <c r="P23" s="18"/>
      <c r="T23" s="23"/>
    </row>
    <row r="24" spans="1:20" ht="15.15" customHeight="1">
      <c r="C24" s="81"/>
      <c r="D24" s="38"/>
      <c r="E24" s="38"/>
      <c r="F24" s="38"/>
      <c r="G24" s="38"/>
      <c r="H24" s="82"/>
      <c r="J24" s="42"/>
      <c r="K24" s="43"/>
      <c r="L24" s="43"/>
      <c r="M24" s="43"/>
      <c r="N24" s="44"/>
      <c r="O24" s="45"/>
      <c r="P24" s="18"/>
      <c r="T24" s="23"/>
    </row>
    <row r="25" spans="1:20" ht="15.15" customHeight="1">
      <c r="C25" s="81"/>
      <c r="D25" s="38"/>
      <c r="E25" s="38"/>
      <c r="F25" s="38"/>
      <c r="G25" s="38"/>
      <c r="H25" s="82"/>
      <c r="J25" s="46"/>
      <c r="K25" s="45"/>
      <c r="L25" s="45"/>
      <c r="M25" s="45"/>
      <c r="N25" s="47"/>
      <c r="O25" s="45"/>
      <c r="P25" s="18"/>
    </row>
    <row r="26" spans="1:20" ht="15.15" customHeight="1">
      <c r="C26" s="81"/>
      <c r="D26" s="38"/>
      <c r="E26" s="38"/>
      <c r="F26" s="38"/>
      <c r="G26" s="38"/>
      <c r="H26" s="82"/>
      <c r="J26" s="48"/>
      <c r="K26" s="49"/>
      <c r="L26" s="49"/>
      <c r="M26" s="49"/>
      <c r="N26" s="50"/>
      <c r="O26" s="49"/>
      <c r="P26" s="18"/>
    </row>
    <row r="27" spans="1:20" ht="15.15" customHeight="1">
      <c r="C27" s="81"/>
      <c r="D27" s="38"/>
      <c r="E27" s="38"/>
      <c r="F27" s="38"/>
      <c r="G27" s="38"/>
      <c r="H27" s="82"/>
      <c r="J27" s="48"/>
      <c r="K27" s="49"/>
      <c r="L27" s="49"/>
      <c r="M27" s="49"/>
      <c r="N27" s="50"/>
      <c r="O27" s="49"/>
      <c r="P27" s="18"/>
    </row>
    <row r="28" spans="1:20" ht="15.15" customHeight="1">
      <c r="C28" s="81"/>
      <c r="D28" s="38"/>
      <c r="E28" s="38"/>
      <c r="F28" s="38"/>
      <c r="G28" s="38"/>
      <c r="H28" s="82"/>
      <c r="J28" s="48"/>
      <c r="K28" s="49"/>
      <c r="L28" s="49"/>
      <c r="M28" s="49"/>
      <c r="N28" s="50"/>
      <c r="O28" s="49"/>
      <c r="P28" s="18"/>
    </row>
    <row r="29" spans="1:20" ht="15.15" customHeight="1">
      <c r="C29" s="81"/>
      <c r="D29" s="38"/>
      <c r="E29" s="38"/>
      <c r="F29" s="38"/>
      <c r="G29" s="38"/>
      <c r="H29" s="82"/>
      <c r="J29" s="48"/>
      <c r="K29" s="49"/>
      <c r="L29" s="49"/>
      <c r="M29" s="49"/>
      <c r="N29" s="50"/>
      <c r="O29" s="49"/>
      <c r="P29" s="18"/>
    </row>
    <row r="30" spans="1:20" ht="15.15" customHeight="1">
      <c r="C30" s="81"/>
      <c r="D30" s="38"/>
      <c r="E30" s="38"/>
      <c r="F30" s="38"/>
      <c r="G30" s="38"/>
      <c r="H30" s="82"/>
      <c r="J30" s="48"/>
      <c r="K30" s="49"/>
      <c r="L30" s="49"/>
      <c r="M30" s="49"/>
      <c r="N30" s="50"/>
      <c r="O30" s="49"/>
      <c r="P30" s="18"/>
    </row>
    <row r="31" spans="1:20" ht="15.15" customHeight="1">
      <c r="C31" s="81"/>
      <c r="D31" s="38"/>
      <c r="E31" s="38"/>
      <c r="F31" s="38"/>
      <c r="G31" s="38"/>
      <c r="H31" s="82"/>
      <c r="J31" s="48"/>
      <c r="K31" s="49"/>
      <c r="L31" s="49"/>
      <c r="M31" s="49"/>
      <c r="N31" s="50"/>
      <c r="O31" s="49"/>
      <c r="P31" s="18"/>
    </row>
    <row r="32" spans="1:20" ht="15.15" customHeight="1">
      <c r="C32" s="81"/>
      <c r="D32" s="38"/>
      <c r="E32" s="38"/>
      <c r="F32" s="38"/>
      <c r="G32" s="38"/>
      <c r="H32" s="82"/>
      <c r="J32" s="48"/>
      <c r="K32" s="49"/>
      <c r="L32" s="49"/>
      <c r="M32" s="49"/>
      <c r="N32" s="50"/>
      <c r="O32" s="49"/>
      <c r="P32" s="18"/>
    </row>
    <row r="33" spans="1:16" ht="15.15" customHeight="1">
      <c r="C33" s="81"/>
      <c r="D33" s="38"/>
      <c r="E33" s="38"/>
      <c r="F33" s="38"/>
      <c r="G33" s="38"/>
      <c r="H33" s="82"/>
      <c r="J33" s="48"/>
      <c r="K33" s="49"/>
      <c r="L33" s="49"/>
      <c r="M33" s="49"/>
      <c r="N33" s="50"/>
      <c r="O33" s="49"/>
      <c r="P33" s="18"/>
    </row>
    <row r="34" spans="1:16" ht="15.15" customHeight="1">
      <c r="C34" s="83"/>
      <c r="D34" s="84"/>
      <c r="E34" s="84"/>
      <c r="F34" s="84"/>
      <c r="G34" s="84"/>
      <c r="H34" s="85"/>
      <c r="J34" s="51"/>
      <c r="K34" s="52"/>
      <c r="L34" s="52"/>
      <c r="M34" s="52"/>
      <c r="N34" s="53"/>
      <c r="O34" s="49"/>
      <c r="P34" s="18"/>
    </row>
    <row r="36" spans="1:16">
      <c r="C36" s="96" t="s">
        <v>51</v>
      </c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6">
      <c r="A37" s="54"/>
      <c r="B37" s="54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54"/>
      <c r="P37" s="54"/>
    </row>
    <row r="38" spans="1:16"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P38" s="54"/>
    </row>
    <row r="39" spans="1:16"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P39" s="54"/>
    </row>
    <row r="40" spans="1:16"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P40" s="54"/>
    </row>
    <row r="41" spans="1:16"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P41" s="54"/>
    </row>
    <row r="42" spans="1:16"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P42" s="54"/>
    </row>
    <row r="43" spans="1:16"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P43" s="54"/>
    </row>
    <row r="44" spans="1:16"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P44" s="54"/>
    </row>
    <row r="45" spans="1:16"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P45" s="54"/>
    </row>
    <row r="46" spans="1:16"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P46" s="54"/>
    </row>
    <row r="47" spans="1:16"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P47" s="54"/>
    </row>
    <row r="48" spans="1:16"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P48" s="54"/>
    </row>
    <row r="49" spans="1:16">
      <c r="C49" s="87"/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P49" s="54"/>
    </row>
    <row r="50" spans="1:16"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P50" s="54"/>
    </row>
    <row r="51" spans="1:16"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P51" s="54"/>
    </row>
    <row r="52" spans="1:16">
      <c r="C52" s="86"/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P52" s="54"/>
    </row>
    <row r="53" spans="1:16"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P53" s="54"/>
    </row>
    <row r="54" spans="1:16"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P54" s="54"/>
    </row>
    <row r="55" spans="1:16">
      <c r="A55" s="54"/>
      <c r="B55" s="54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54"/>
      <c r="P55" s="54"/>
    </row>
    <row r="56" spans="1:16">
      <c r="A56" s="54"/>
      <c r="B56" s="54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54"/>
      <c r="P56" s="54"/>
    </row>
    <row r="57" spans="1:16">
      <c r="A57" s="54"/>
      <c r="B57" s="54"/>
      <c r="C57" s="87"/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54"/>
      <c r="P57" s="54"/>
    </row>
    <row r="58" spans="1:16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</row>
    <row r="59" spans="1:16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</row>
    <row r="60" spans="1:16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</row>
    <row r="61" spans="1:16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</row>
    <row r="62" spans="1:16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</row>
    <row r="63" spans="1:16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</row>
    <row r="64" spans="1:16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</row>
    <row r="65" spans="1:16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</row>
    <row r="66" spans="1:16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</row>
    <row r="67" spans="1:16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</row>
    <row r="68" spans="1:16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</row>
    <row r="69" spans="1:16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</row>
    <row r="70" spans="1:16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</row>
    <row r="71" spans="1:16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</row>
    <row r="72" spans="1:16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</row>
    <row r="73" spans="1:16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</row>
    <row r="74" spans="1:16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</row>
    <row r="75" spans="1:16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</row>
    <row r="76" spans="1:16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</row>
    <row r="77" spans="1:16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</row>
    <row r="78" spans="1:16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</row>
    <row r="79" spans="1:16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</row>
    <row r="80" spans="1:16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</row>
    <row r="81" spans="1:16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</row>
    <row r="82" spans="1:16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</row>
    <row r="83" spans="1:16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</row>
    <row r="84" spans="1:16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</row>
    <row r="85" spans="1:16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</row>
    <row r="86" spans="1:16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</row>
    <row r="87" spans="1:16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</row>
    <row r="88" spans="1:16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</row>
    <row r="89" spans="1:16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</row>
    <row r="90" spans="1:16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</row>
    <row r="91" spans="1:16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</row>
    <row r="92" spans="1:16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</row>
    <row r="93" spans="1:16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</row>
    <row r="94" spans="1:16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</row>
    <row r="95" spans="1:16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</row>
    <row r="96" spans="1:16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</row>
    <row r="97" spans="1:16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</row>
    <row r="98" spans="1:16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</row>
    <row r="249" spans="2:12"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</row>
    <row r="250" spans="2:12"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</row>
    <row r="251" spans="2:12"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</row>
    <row r="252" spans="2:12"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</row>
    <row r="253" spans="2:12"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</row>
    <row r="254" spans="2:12"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</row>
    <row r="255" spans="2:12"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</row>
    <row r="256" spans="2:12"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</row>
    <row r="257" spans="2:12"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</row>
    <row r="258" spans="2:12"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</row>
    <row r="259" spans="2:12"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</row>
    <row r="260" spans="2:12"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</row>
    <row r="261" spans="2:12"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</row>
    <row r="262" spans="2:12"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</row>
    <row r="263" spans="2:12"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</row>
    <row r="264" spans="2:12"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</row>
    <row r="265" spans="2:12"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</row>
    <row r="266" spans="2:12"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</row>
    <row r="267" spans="2:12"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</row>
    <row r="268" spans="2:12"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</row>
    <row r="269" spans="2:12"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</row>
    <row r="270" spans="2:12"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</row>
    <row r="271" spans="2:12"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</row>
    <row r="272" spans="2:12"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</row>
    <row r="273" spans="2:12"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</row>
    <row r="274" spans="2:12"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</row>
    <row r="275" spans="2:12"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</row>
    <row r="276" spans="2:12"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</row>
    <row r="277" spans="2:12"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</row>
    <row r="278" spans="2:12"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</row>
    <row r="279" spans="2:12"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</row>
    <row r="280" spans="2:12"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</row>
    <row r="281" spans="2:12"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</row>
    <row r="282" spans="2:12"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</row>
    <row r="283" spans="2:12"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</row>
    <row r="284" spans="2:12"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</row>
    <row r="285" spans="2:12"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</row>
    <row r="286" spans="2:12"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</row>
    <row r="287" spans="2:12"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</row>
    <row r="288" spans="2:12"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</row>
    <row r="289" spans="1:22"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</row>
    <row r="290" spans="1:22"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</row>
    <row r="291" spans="1:22"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</row>
    <row r="292" spans="1:22">
      <c r="A292" s="55"/>
      <c r="B292" s="55"/>
      <c r="C292" s="55"/>
      <c r="D292" s="55"/>
      <c r="E292" s="55"/>
      <c r="F292" s="55"/>
      <c r="G292" s="55"/>
      <c r="H292" s="55"/>
      <c r="I292" s="55"/>
      <c r="J292" s="55"/>
      <c r="K292" s="55"/>
      <c r="L292" s="55"/>
    </row>
    <row r="293" spans="1:22">
      <c r="A293" s="55"/>
      <c r="B293" s="55"/>
      <c r="C293" s="55"/>
      <c r="D293" s="55"/>
      <c r="E293" s="55"/>
      <c r="F293" s="55"/>
      <c r="G293" s="55"/>
      <c r="H293" s="55"/>
      <c r="I293" s="55"/>
      <c r="J293" s="55"/>
      <c r="K293" s="55"/>
      <c r="L293" s="55"/>
    </row>
    <row r="294" spans="1:22">
      <c r="A294" s="55"/>
      <c r="B294" s="55"/>
      <c r="C294" s="55"/>
      <c r="D294" s="55"/>
      <c r="E294" s="55"/>
      <c r="F294" s="55"/>
      <c r="G294" s="55"/>
      <c r="H294" s="55"/>
      <c r="I294" s="55"/>
      <c r="J294" s="55"/>
      <c r="K294" s="55"/>
      <c r="L294" s="55"/>
    </row>
    <row r="295" spans="1:22">
      <c r="A295" s="55"/>
      <c r="B295" s="55"/>
      <c r="C295" s="55"/>
      <c r="D295" s="55"/>
      <c r="E295" s="55"/>
      <c r="F295" s="55"/>
      <c r="G295" s="55"/>
      <c r="H295" s="55"/>
      <c r="I295" s="55"/>
      <c r="J295" s="55"/>
      <c r="K295" s="55"/>
      <c r="L295" s="55"/>
    </row>
    <row r="296" spans="1:22">
      <c r="A296" s="55"/>
      <c r="B296" s="55"/>
      <c r="C296" s="55"/>
      <c r="D296" s="55"/>
      <c r="E296" s="55"/>
      <c r="F296" s="55"/>
      <c r="G296" s="55"/>
      <c r="H296" s="55"/>
      <c r="I296" s="55"/>
      <c r="J296" s="55"/>
      <c r="K296" s="55"/>
      <c r="L296" s="55"/>
    </row>
    <row r="297" spans="1:22" s="59" customFormat="1">
      <c r="L297" s="58"/>
      <c r="M297" s="58"/>
      <c r="N297" s="58"/>
      <c r="O297" s="58"/>
      <c r="Q297" s="60"/>
      <c r="S297" s="60"/>
      <c r="T297" s="60"/>
      <c r="U297" s="60"/>
      <c r="V297" s="60"/>
    </row>
    <row r="298" spans="1:22" s="59" customFormat="1">
      <c r="L298" s="58"/>
      <c r="M298" s="58"/>
      <c r="N298" s="58"/>
      <c r="O298" s="58"/>
      <c r="Q298" s="60"/>
      <c r="S298" s="60"/>
      <c r="T298" s="60"/>
      <c r="U298" s="60"/>
      <c r="V298" s="60"/>
    </row>
    <row r="299" spans="1:22" s="59" customFormat="1">
      <c r="L299" s="58"/>
      <c r="M299" s="58"/>
      <c r="N299" s="58"/>
      <c r="O299" s="58"/>
      <c r="Q299" s="60"/>
      <c r="S299" s="60"/>
      <c r="T299" s="60"/>
      <c r="U299" s="60"/>
      <c r="V299" s="60"/>
    </row>
    <row r="300" spans="1:22" s="59" customFormat="1">
      <c r="L300" s="58"/>
      <c r="M300" s="58"/>
      <c r="N300" s="58"/>
      <c r="O300" s="58"/>
      <c r="Q300" s="60"/>
      <c r="S300" s="60"/>
      <c r="T300" s="60"/>
      <c r="U300" s="60"/>
      <c r="V300" s="60"/>
    </row>
    <row r="301" spans="1:22" s="59" customFormat="1">
      <c r="L301" s="58"/>
      <c r="M301" s="58"/>
      <c r="N301" s="58"/>
      <c r="O301" s="58"/>
      <c r="Q301" s="60"/>
      <c r="S301" s="60"/>
      <c r="T301" s="60"/>
      <c r="U301" s="60"/>
      <c r="V301" s="60"/>
    </row>
    <row r="302" spans="1:22" s="59" customFormat="1">
      <c r="L302" s="58"/>
      <c r="M302" s="58"/>
      <c r="N302" s="58"/>
      <c r="O302" s="58"/>
      <c r="Q302" s="60"/>
      <c r="S302" s="60"/>
      <c r="T302" s="60"/>
      <c r="U302" s="60"/>
      <c r="V302" s="60"/>
    </row>
    <row r="303" spans="1:22" s="59" customFormat="1">
      <c r="L303" s="58"/>
      <c r="M303" s="58"/>
      <c r="N303" s="58"/>
      <c r="O303" s="58"/>
      <c r="Q303" s="60"/>
      <c r="S303" s="60"/>
      <c r="T303" s="60"/>
      <c r="U303" s="60"/>
      <c r="V303" s="60"/>
    </row>
    <row r="304" spans="1:22" s="59" customFormat="1">
      <c r="L304" s="58"/>
      <c r="M304" s="58"/>
      <c r="N304" s="58"/>
      <c r="O304" s="58"/>
      <c r="Q304" s="60"/>
      <c r="S304" s="60"/>
      <c r="T304" s="60"/>
      <c r="U304" s="60"/>
      <c r="V304" s="60"/>
    </row>
    <row r="305" spans="1:22" s="59" customFormat="1">
      <c r="L305" s="58"/>
      <c r="M305" s="58"/>
      <c r="N305" s="58"/>
      <c r="O305" s="58"/>
      <c r="Q305" s="60"/>
      <c r="S305" s="60"/>
      <c r="T305" s="60"/>
      <c r="U305" s="60"/>
      <c r="V305" s="60"/>
    </row>
    <row r="306" spans="1:22" s="59" customFormat="1">
      <c r="L306" s="58"/>
      <c r="M306" s="58"/>
      <c r="N306" s="58"/>
      <c r="O306" s="58"/>
      <c r="Q306" s="60"/>
      <c r="S306" s="60"/>
      <c r="T306" s="60"/>
      <c r="U306" s="60"/>
      <c r="V306" s="60"/>
    </row>
    <row r="307" spans="1:22" s="59" customFormat="1">
      <c r="L307" s="58"/>
      <c r="M307" s="58"/>
      <c r="N307" s="58"/>
      <c r="O307" s="58"/>
      <c r="Q307" s="60"/>
      <c r="S307" s="60"/>
      <c r="T307" s="60"/>
      <c r="U307" s="60"/>
      <c r="V307" s="60"/>
    </row>
    <row r="308" spans="1:22" s="59" customFormat="1">
      <c r="L308" s="58"/>
      <c r="M308" s="58"/>
      <c r="N308" s="58"/>
      <c r="O308" s="58"/>
      <c r="Q308" s="60"/>
      <c r="S308" s="60"/>
      <c r="T308" s="60"/>
      <c r="U308" s="60"/>
      <c r="V308" s="60"/>
    </row>
    <row r="309" spans="1:22" s="59" customFormat="1">
      <c r="L309" s="58"/>
      <c r="M309" s="58"/>
      <c r="N309" s="58"/>
      <c r="O309" s="58"/>
      <c r="Q309" s="60"/>
      <c r="S309" s="60"/>
      <c r="T309" s="60"/>
      <c r="U309" s="60"/>
      <c r="V309" s="60"/>
    </row>
    <row r="310" spans="1:22" s="59" customFormat="1">
      <c r="L310" s="58"/>
      <c r="M310" s="58"/>
      <c r="N310" s="58"/>
      <c r="O310" s="58"/>
      <c r="Q310" s="60"/>
      <c r="S310" s="60"/>
      <c r="T310" s="60"/>
      <c r="U310" s="60"/>
      <c r="V310" s="60"/>
    </row>
    <row r="311" spans="1:22" s="59" customFormat="1">
      <c r="L311" s="58"/>
      <c r="M311" s="58"/>
      <c r="N311" s="58"/>
      <c r="O311" s="58"/>
      <c r="Q311" s="60"/>
      <c r="S311" s="60"/>
      <c r="T311" s="60"/>
      <c r="U311" s="60"/>
      <c r="V311" s="60"/>
    </row>
    <row r="312" spans="1:22" s="59" customFormat="1">
      <c r="L312" s="58"/>
      <c r="M312" s="58"/>
      <c r="N312" s="58"/>
      <c r="O312" s="58"/>
      <c r="Q312" s="60"/>
      <c r="S312" s="60"/>
      <c r="T312" s="60"/>
      <c r="U312" s="60"/>
      <c r="V312" s="60"/>
    </row>
    <row r="313" spans="1:22" s="59" customForma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Q313" s="60"/>
      <c r="S313" s="60"/>
      <c r="T313" s="60"/>
      <c r="U313" s="60"/>
      <c r="V313" s="60"/>
    </row>
    <row r="314" spans="1:22" s="59" customFormat="1">
      <c r="Q314" s="60"/>
      <c r="S314" s="60"/>
      <c r="T314" s="60"/>
      <c r="U314" s="60"/>
      <c r="V314" s="60"/>
    </row>
    <row r="315" spans="1:22" s="59" customFormat="1">
      <c r="Q315" s="60"/>
      <c r="S315" s="60"/>
      <c r="T315" s="60"/>
      <c r="U315" s="60"/>
      <c r="V315" s="60"/>
    </row>
    <row r="316" spans="1:22" s="59" customFormat="1">
      <c r="Q316" s="60"/>
      <c r="S316" s="60"/>
      <c r="T316" s="60"/>
      <c r="U316" s="60"/>
      <c r="V316" s="60"/>
    </row>
    <row r="317" spans="1:22" s="59" customFormat="1">
      <c r="Q317" s="60"/>
      <c r="S317" s="60"/>
      <c r="T317" s="60"/>
      <c r="U317" s="60"/>
      <c r="V317" s="60"/>
    </row>
    <row r="318" spans="1:22" s="59" customFormat="1">
      <c r="Q318" s="60"/>
      <c r="S318" s="60"/>
      <c r="T318" s="60"/>
      <c r="U318" s="60"/>
      <c r="V318" s="60"/>
    </row>
    <row r="319" spans="1:22" s="59" customFormat="1">
      <c r="Q319" s="60"/>
      <c r="S319" s="60"/>
      <c r="T319" s="60"/>
      <c r="U319" s="60"/>
      <c r="V319" s="60"/>
    </row>
    <row r="320" spans="1:22" s="59" customFormat="1">
      <c r="Q320" s="60"/>
      <c r="S320" s="60"/>
      <c r="T320" s="60"/>
      <c r="U320" s="60"/>
      <c r="V320" s="60"/>
    </row>
    <row r="321" spans="17:22" s="59" customFormat="1">
      <c r="Q321" s="60"/>
      <c r="S321" s="60"/>
      <c r="T321" s="60"/>
      <c r="U321" s="60"/>
      <c r="V321" s="60"/>
    </row>
    <row r="322" spans="17:22" s="59" customFormat="1">
      <c r="Q322" s="60"/>
      <c r="S322" s="60"/>
      <c r="T322" s="60"/>
      <c r="U322" s="60"/>
      <c r="V322" s="60"/>
    </row>
    <row r="323" spans="17:22" s="59" customFormat="1">
      <c r="Q323" s="60"/>
      <c r="S323" s="60"/>
      <c r="T323" s="60"/>
      <c r="U323" s="60"/>
      <c r="V323" s="60"/>
    </row>
    <row r="324" spans="17:22" s="59" customFormat="1">
      <c r="Q324" s="60"/>
      <c r="S324" s="60"/>
      <c r="T324" s="60"/>
      <c r="U324" s="60"/>
      <c r="V324" s="60"/>
    </row>
    <row r="325" spans="17:22" s="59" customFormat="1">
      <c r="Q325" s="60"/>
      <c r="S325" s="60"/>
      <c r="T325" s="60"/>
      <c r="U325" s="60"/>
      <c r="V325" s="60"/>
    </row>
    <row r="326" spans="17:22" s="59" customFormat="1">
      <c r="Q326" s="60"/>
      <c r="S326" s="60"/>
      <c r="T326" s="60"/>
      <c r="U326" s="60"/>
      <c r="V326" s="60"/>
    </row>
    <row r="327" spans="17:22" s="59" customFormat="1">
      <c r="Q327" s="60"/>
      <c r="S327" s="60"/>
      <c r="T327" s="60"/>
      <c r="U327" s="60"/>
      <c r="V327" s="60"/>
    </row>
    <row r="328" spans="17:22" s="59" customFormat="1">
      <c r="Q328" s="60"/>
      <c r="S328" s="60"/>
      <c r="T328" s="60"/>
      <c r="U328" s="60"/>
      <c r="V328" s="60"/>
    </row>
    <row r="329" spans="17:22" s="59" customFormat="1">
      <c r="Q329" s="60"/>
      <c r="S329" s="60"/>
      <c r="T329" s="60"/>
      <c r="U329" s="60"/>
      <c r="V329" s="60"/>
    </row>
    <row r="330" spans="17:22" s="59" customFormat="1">
      <c r="Q330" s="60"/>
      <c r="S330" s="60"/>
      <c r="T330" s="60"/>
      <c r="U330" s="60"/>
      <c r="V330" s="60"/>
    </row>
    <row r="331" spans="17:22" s="59" customFormat="1">
      <c r="Q331" s="60"/>
      <c r="S331" s="60"/>
      <c r="T331" s="60"/>
      <c r="U331" s="60"/>
      <c r="V331" s="60"/>
    </row>
    <row r="332" spans="17:22" s="59" customFormat="1">
      <c r="Q332" s="60"/>
      <c r="S332" s="60"/>
      <c r="T332" s="60"/>
      <c r="U332" s="60"/>
      <c r="V332" s="60"/>
    </row>
    <row r="333" spans="17:22" s="59" customFormat="1">
      <c r="Q333" s="60"/>
      <c r="S333" s="60"/>
      <c r="T333" s="60"/>
      <c r="U333" s="60"/>
      <c r="V333" s="60"/>
    </row>
    <row r="334" spans="17:22" s="59" customFormat="1">
      <c r="Q334" s="60"/>
      <c r="S334" s="60"/>
      <c r="T334" s="60"/>
      <c r="U334" s="60"/>
      <c r="V334" s="60"/>
    </row>
    <row r="335" spans="17:22" s="59" customFormat="1">
      <c r="Q335" s="60"/>
      <c r="S335" s="60"/>
      <c r="T335" s="60"/>
      <c r="U335" s="60"/>
      <c r="V335" s="60"/>
    </row>
    <row r="336" spans="17:22" s="59" customFormat="1">
      <c r="Q336" s="60"/>
      <c r="S336" s="60"/>
      <c r="T336" s="60"/>
      <c r="U336" s="60"/>
      <c r="V336" s="60"/>
    </row>
    <row r="337" spans="17:22" s="59" customFormat="1">
      <c r="Q337" s="60"/>
      <c r="S337" s="60"/>
      <c r="T337" s="60"/>
      <c r="U337" s="60"/>
      <c r="V337" s="60"/>
    </row>
    <row r="338" spans="17:22" s="59" customFormat="1">
      <c r="Q338" s="60"/>
      <c r="S338" s="60"/>
      <c r="T338" s="60"/>
      <c r="U338" s="60"/>
      <c r="V338" s="60"/>
    </row>
    <row r="339" spans="17:22" s="59" customFormat="1">
      <c r="Q339" s="60"/>
      <c r="S339" s="60"/>
      <c r="T339" s="60"/>
      <c r="U339" s="60"/>
      <c r="V339" s="60"/>
    </row>
    <row r="340" spans="17:22" s="59" customFormat="1">
      <c r="Q340" s="60"/>
      <c r="S340" s="60"/>
      <c r="T340" s="60"/>
      <c r="U340" s="60"/>
      <c r="V340" s="60"/>
    </row>
    <row r="341" spans="17:22" s="59" customFormat="1">
      <c r="Q341" s="60"/>
      <c r="S341" s="60"/>
      <c r="T341" s="60"/>
      <c r="U341" s="60"/>
      <c r="V341" s="60"/>
    </row>
  </sheetData>
  <sheetProtection password="CDA3" sheet="1" objects="1" scenarios="1"/>
  <mergeCells count="30">
    <mergeCell ref="C3:N3"/>
    <mergeCell ref="C2:L2"/>
    <mergeCell ref="C1:N1"/>
    <mergeCell ref="E17:G17"/>
    <mergeCell ref="J18:N21"/>
    <mergeCell ref="F4:G5"/>
    <mergeCell ref="C6:G7"/>
    <mergeCell ref="L8:N9"/>
    <mergeCell ref="L7:N7"/>
    <mergeCell ref="I7:J7"/>
    <mergeCell ref="I8:J8"/>
    <mergeCell ref="I9:J9"/>
    <mergeCell ref="C42:N43"/>
    <mergeCell ref="C44:N45"/>
    <mergeCell ref="J22:N22"/>
    <mergeCell ref="J15:N17"/>
    <mergeCell ref="I10:J10"/>
    <mergeCell ref="I11:J11"/>
    <mergeCell ref="I12:J12"/>
    <mergeCell ref="L10:N12"/>
    <mergeCell ref="K14:N14"/>
    <mergeCell ref="C36:N37"/>
    <mergeCell ref="C38:N39"/>
    <mergeCell ref="C40:N41"/>
    <mergeCell ref="C54:N55"/>
    <mergeCell ref="C56:N57"/>
    <mergeCell ref="C46:N47"/>
    <mergeCell ref="C48:N49"/>
    <mergeCell ref="C50:N51"/>
    <mergeCell ref="C52:N53"/>
  </mergeCells>
  <hyperlinks>
    <hyperlink ref="C3" r:id="rId1"/>
    <hyperlink ref="J22" r:id="rId2"/>
  </hyperlinks>
  <printOptions horizontalCentered="1"/>
  <pageMargins left="0.45" right="0.45" top="0.5" bottom="0.5" header="0.3" footer="0.3"/>
  <pageSetup scale="78" orientation="portrait" horizontalDpi="1200" verticalDpi="1200" r:id="rId3"/>
  <colBreaks count="1" manualBreakCount="1">
    <brk id="15" max="32" man="1"/>
  </colBreaks>
  <drawing r:id="rId4"/>
  <legacyDrawing r:id="rId5"/>
  <webPublishItems count="2">
    <webPublishItem id="11916" divId="H20 Calculator_11916" sourceType="printArea" destinationFile="C:\Documents and Settings\Administrator\Desktop\H20 Calculator.mhtml"/>
    <webPublishItem id="4529" divId="H20 Calculator_4529" sourceType="printArea" destinationFile="C:\Documents and Settings\Administrator\Desktop\H20 Calculator.mht"/>
  </webPublishItem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7"/>
  <sheetViews>
    <sheetView workbookViewId="0">
      <selection activeCell="G12" sqref="G12"/>
    </sheetView>
  </sheetViews>
  <sheetFormatPr defaultRowHeight="14.4"/>
  <cols>
    <col min="3" max="5" width="10.5546875" bestFit="1" customWidth="1"/>
    <col min="6" max="7" width="9.44140625" bestFit="1" customWidth="1"/>
  </cols>
  <sheetData>
    <row r="1" spans="1:11" ht="28.8">
      <c r="A1" s="61"/>
      <c r="C1" s="62" t="s">
        <v>18</v>
      </c>
      <c r="D1" s="62" t="s">
        <v>11</v>
      </c>
      <c r="E1" s="62" t="s">
        <v>12</v>
      </c>
      <c r="F1" s="62" t="s">
        <v>13</v>
      </c>
      <c r="G1" s="62" t="s">
        <v>14</v>
      </c>
      <c r="H1" s="62" t="s">
        <v>16</v>
      </c>
      <c r="I1" s="62" t="s">
        <v>17</v>
      </c>
      <c r="J1" s="62" t="s">
        <v>39</v>
      </c>
      <c r="K1" s="61"/>
    </row>
    <row r="2" spans="1:11" ht="16.2">
      <c r="A2" s="61"/>
      <c r="B2" s="134" t="s">
        <v>6</v>
      </c>
      <c r="C2" s="63" t="s">
        <v>1</v>
      </c>
      <c r="D2" s="63" t="s">
        <v>2</v>
      </c>
      <c r="E2" s="63" t="s">
        <v>2</v>
      </c>
      <c r="F2" s="63" t="s">
        <v>2</v>
      </c>
      <c r="G2" s="63" t="s">
        <v>2</v>
      </c>
      <c r="H2" s="63" t="s">
        <v>47</v>
      </c>
      <c r="I2" s="63"/>
      <c r="J2" s="64" t="s">
        <v>41</v>
      </c>
      <c r="K2" s="61"/>
    </row>
    <row r="3" spans="1:11">
      <c r="A3" s="61"/>
      <c r="B3" s="134"/>
      <c r="C3" s="63" t="s">
        <v>9</v>
      </c>
      <c r="D3" s="63" t="s">
        <v>15</v>
      </c>
      <c r="E3" s="63" t="s">
        <v>15</v>
      </c>
      <c r="F3" s="63" t="s">
        <v>15</v>
      </c>
      <c r="G3" s="63" t="s">
        <v>15</v>
      </c>
      <c r="H3" s="63" t="s">
        <v>23</v>
      </c>
      <c r="I3" s="63"/>
      <c r="J3" s="64" t="s">
        <v>42</v>
      </c>
      <c r="K3" s="61"/>
    </row>
    <row r="4" spans="1:11">
      <c r="A4" s="61"/>
      <c r="B4" s="65" t="s">
        <v>7</v>
      </c>
      <c r="C4" s="63">
        <v>2</v>
      </c>
      <c r="D4" s="63">
        <v>1</v>
      </c>
      <c r="E4" s="63">
        <v>1</v>
      </c>
      <c r="F4" s="63">
        <v>1</v>
      </c>
      <c r="G4" s="63">
        <v>1</v>
      </c>
      <c r="H4" s="63">
        <v>2</v>
      </c>
      <c r="I4" s="63"/>
      <c r="J4" s="63">
        <v>1</v>
      </c>
      <c r="K4" s="61"/>
    </row>
    <row r="5" spans="1:11">
      <c r="A5" s="61"/>
      <c r="B5" s="65" t="s">
        <v>8</v>
      </c>
      <c r="C5" s="66">
        <f>IF(C4=1,'Phoenix Dynamometer'!H8*1.341022,'Phoenix Dynamometer'!H8)</f>
        <v>2500</v>
      </c>
      <c r="D5" s="66">
        <f>C5</f>
        <v>2500</v>
      </c>
      <c r="E5" s="66">
        <f>D5</f>
        <v>2500</v>
      </c>
      <c r="F5" s="66">
        <f>E5</f>
        <v>2500</v>
      </c>
      <c r="G5" s="66">
        <f>F5</f>
        <v>2500</v>
      </c>
      <c r="H5" s="67">
        <f>IF(H4=1,0.003785412,0.00133689839572192)</f>
        <v>1.3368983957219201E-3</v>
      </c>
      <c r="I5" s="63"/>
      <c r="J5" s="61" t="str">
        <f>IF(J4=1,J2,J3)</f>
        <v>USD</v>
      </c>
      <c r="K5" s="61"/>
    </row>
    <row r="6" spans="1:11">
      <c r="A6" s="61"/>
      <c r="B6" s="65" t="s">
        <v>10</v>
      </c>
      <c r="C6" s="66">
        <f>5.1*C5/70</f>
        <v>182.14285714285714</v>
      </c>
      <c r="D6" s="66">
        <f>IF(D4=1,4.1*D5/(195-70),0)</f>
        <v>82</v>
      </c>
      <c r="E6" s="66">
        <f>IF(E4=1,4.1*E5/(155-70),0)</f>
        <v>120.58823529411765</v>
      </c>
      <c r="F6" s="66">
        <f>IF(F4=1,0.5*F5/(155-70),0)</f>
        <v>14.705882352941176</v>
      </c>
      <c r="G6" s="66">
        <f>IF(G4=1,0.5*G5/(155-70),0)</f>
        <v>14.705882352941176</v>
      </c>
      <c r="H6" s="61"/>
      <c r="I6" s="63"/>
      <c r="J6" s="61"/>
      <c r="K6" s="61"/>
    </row>
    <row r="7" spans="1:11">
      <c r="A7" s="61"/>
      <c r="B7" s="65" t="s">
        <v>20</v>
      </c>
      <c r="C7" s="66">
        <f>C6*60*'Phoenix Dynamometer'!$H15</f>
        <v>2185714.2857142854</v>
      </c>
      <c r="D7" s="66">
        <f>D6*60*'Phoenix Dynamometer'!$H15</f>
        <v>984000</v>
      </c>
      <c r="E7" s="66">
        <f>E6*60*'Phoenix Dynamometer'!$H15</f>
        <v>1447058.8235294118</v>
      </c>
      <c r="F7" s="66">
        <f>F6*60*'Phoenix Dynamometer'!$H15</f>
        <v>176470.5882352941</v>
      </c>
      <c r="G7" s="66">
        <f>G6*60*'Phoenix Dynamometer'!$H15</f>
        <v>176470.5882352941</v>
      </c>
      <c r="H7" s="66">
        <f>SUM(C7:G7)*H5</f>
        <v>6644.0030557677374</v>
      </c>
      <c r="I7" s="63">
        <v>0</v>
      </c>
      <c r="J7" s="61"/>
      <c r="K7" s="61"/>
    </row>
    <row r="8" spans="1:11">
      <c r="A8" s="61"/>
      <c r="B8" s="65" t="s">
        <v>21</v>
      </c>
      <c r="C8" s="66">
        <f>C7*0.014</f>
        <v>30599.999999999996</v>
      </c>
      <c r="D8" s="66">
        <f>D7*0.014</f>
        <v>13776</v>
      </c>
      <c r="E8" s="66">
        <f>E7*0.014</f>
        <v>20258.823529411766</v>
      </c>
      <c r="F8" s="66">
        <f>F7*0.014</f>
        <v>2470.5882352941176</v>
      </c>
      <c r="G8" s="66">
        <f>G7*0.014</f>
        <v>2470.5882352941176</v>
      </c>
      <c r="H8" s="66">
        <f>SUM(C8:G8)*H5</f>
        <v>93.016042780748293</v>
      </c>
      <c r="I8" s="66">
        <f>IF(SUM(C6:G6)/10.5&lt;15,15,SUM(C6:G6)/10.5)*0.7456999*'Phoenix Dynamometer'!H15</f>
        <v>5882.4054696598632</v>
      </c>
      <c r="J8" s="61"/>
      <c r="K8" s="61"/>
    </row>
    <row r="9" spans="1:11">
      <c r="A9" s="61"/>
      <c r="B9" s="65" t="s">
        <v>22</v>
      </c>
      <c r="C9" s="68">
        <f>C7/SUM($C$7:$G$7)</f>
        <v>0.439806829941359</v>
      </c>
      <c r="D9" s="68">
        <f>D7/SUM($C$7:$G$7)</f>
        <v>0.19799931010693339</v>
      </c>
      <c r="E9" s="68">
        <f>E7/SUM($C$7:$G$7)</f>
        <v>0.29117545603960793</v>
      </c>
      <c r="F9" s="68">
        <f>F7/SUM($C$7:$G$7)</f>
        <v>3.5509201956049743E-2</v>
      </c>
      <c r="G9" s="68">
        <f>G7/SUM($C$7:$G$7)</f>
        <v>3.5509201956049743E-2</v>
      </c>
      <c r="H9" s="68">
        <f>H7/SUM($C$7:$H$7)</f>
        <v>1.3351134846461897E-3</v>
      </c>
      <c r="I9" s="61"/>
      <c r="J9" s="61"/>
      <c r="K9" s="61"/>
    </row>
    <row r="10" spans="1:11">
      <c r="A10" s="61"/>
      <c r="B10" s="63"/>
      <c r="C10" s="76">
        <f>ROUNDUP('Phoenix Dynamometer'!$H$19*C9,0)</f>
        <v>3096</v>
      </c>
      <c r="D10" s="76">
        <f>ROUNDUP('Phoenix Dynamometer'!$H$19*D9,0)</f>
        <v>1394</v>
      </c>
      <c r="E10" s="76">
        <f>ROUNDUP('Phoenix Dynamometer'!$H$19*E9,0)</f>
        <v>2050</v>
      </c>
      <c r="F10" s="76">
        <f>ROUNDUP('Phoenix Dynamometer'!$H$19*F9,0)</f>
        <v>250</v>
      </c>
      <c r="G10" s="76">
        <f>ROUNDUP('Phoenix Dynamometer'!$H$19*G9,0)</f>
        <v>250</v>
      </c>
      <c r="H10" s="61"/>
      <c r="I10" s="61"/>
      <c r="J10" s="61"/>
      <c r="K10" s="61"/>
    </row>
    <row r="11" spans="1:11">
      <c r="A11" s="61"/>
      <c r="B11" s="63"/>
      <c r="C11" s="69"/>
      <c r="D11" s="69"/>
      <c r="E11" s="69"/>
      <c r="F11" s="69"/>
      <c r="G11" s="69"/>
      <c r="H11" s="61"/>
      <c r="I11" s="61"/>
      <c r="J11" s="61"/>
      <c r="K11" s="61"/>
    </row>
    <row r="12" spans="1:11">
      <c r="A12" s="61"/>
      <c r="B12" s="63"/>
      <c r="C12" s="69"/>
      <c r="D12" s="69"/>
      <c r="E12" s="69"/>
      <c r="F12" s="69"/>
      <c r="G12" s="69"/>
      <c r="H12" s="61"/>
      <c r="I12" s="61"/>
      <c r="J12" s="61"/>
      <c r="K12" s="61"/>
    </row>
    <row r="13" spans="1:11">
      <c r="A13" s="61"/>
      <c r="B13" s="63"/>
      <c r="C13" s="70"/>
      <c r="D13" s="63"/>
      <c r="E13" s="66"/>
      <c r="F13" s="63"/>
      <c r="G13" s="63"/>
      <c r="H13" s="61"/>
      <c r="I13" s="61"/>
      <c r="J13" s="61"/>
      <c r="K13" s="61"/>
    </row>
    <row r="14" spans="1:11">
      <c r="A14" s="61"/>
      <c r="B14" s="63"/>
      <c r="C14" s="63" t="s">
        <v>34</v>
      </c>
      <c r="D14" s="63" t="s">
        <v>35</v>
      </c>
      <c r="E14" s="63" t="s">
        <v>36</v>
      </c>
      <c r="F14" s="63" t="s">
        <v>37</v>
      </c>
      <c r="G14" s="63" t="s">
        <v>38</v>
      </c>
      <c r="H14" s="61"/>
      <c r="I14" s="61"/>
      <c r="J14" s="61"/>
      <c r="K14" s="61"/>
    </row>
    <row r="15" spans="1:11">
      <c r="A15" s="61"/>
      <c r="B15" s="63"/>
      <c r="C15" s="71">
        <f>'Phoenix Dynamometer'!$H$19*12*1</f>
        <v>84458.607839142685</v>
      </c>
      <c r="D15" s="71">
        <f>'Phoenix Dynamometer'!$H$19*12*2</f>
        <v>168917.21567828537</v>
      </c>
      <c r="E15" s="71">
        <f>'Phoenix Dynamometer'!$H$19*12*3</f>
        <v>253375.82351742807</v>
      </c>
      <c r="F15" s="71">
        <f>'Phoenix Dynamometer'!$H$19*12*4</f>
        <v>337834.43135657074</v>
      </c>
      <c r="G15" s="71">
        <f>'Phoenix Dynamometer'!$H$19*12*5</f>
        <v>422293.03919571341</v>
      </c>
      <c r="H15" s="72"/>
      <c r="I15" s="72"/>
      <c r="J15" s="61"/>
      <c r="K15" s="61"/>
    </row>
    <row r="16" spans="1:1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</row>
    <row r="17" spans="3:3" ht="23.4">
      <c r="C17" s="75" t="str">
        <f>CONCATENATE("Monthly Savings Contribution ","(",IF(Sheet1!J4=1,"$",IF(Sheet1!J4=2,"€","")),")")</f>
        <v>Monthly Savings Contribution ($)</v>
      </c>
    </row>
  </sheetData>
  <mergeCells count="1">
    <mergeCell ref="B2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Phoenix Dynamometer</vt:lpstr>
      <vt:lpstr>'Phoenix Dynamometer'!Print_Area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Chatzis</dc:creator>
  <cp:lastModifiedBy>Preferred Customer</cp:lastModifiedBy>
  <cp:lastPrinted>2008-10-05T04:09:03Z</cp:lastPrinted>
  <dcterms:created xsi:type="dcterms:W3CDTF">2008-08-25T15:56:50Z</dcterms:created>
  <dcterms:modified xsi:type="dcterms:W3CDTF">2008-10-05T04:40:06Z</dcterms:modified>
</cp:coreProperties>
</file>